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EETS\calc sheets\RESIDENTIAL\"/>
    </mc:Choice>
  </mc:AlternateContent>
  <bookViews>
    <workbookView xWindow="525" yWindow="855" windowWidth="16230" windowHeight="10725" tabRatio="764"/>
  </bookViews>
  <sheets>
    <sheet name="wind-siesmic" sheetId="1" r:id="rId1"/>
    <sheet name="swA" sheetId="15" r:id="rId2"/>
    <sheet name="swB" sheetId="16" r:id="rId3"/>
    <sheet name="sw1" sheetId="3" r:id="rId4"/>
    <sheet name="sw2" sheetId="14" r:id="rId5"/>
    <sheet name="sw3" sheetId="17" r:id="rId6"/>
  </sheets>
  <definedNames>
    <definedName name="_xlnm.Print_Area" localSheetId="3">'sw1'!$A$1:$I$34</definedName>
    <definedName name="_xlnm.Print_Area" localSheetId="4">'sw2'!$A$1:$I$36</definedName>
    <definedName name="_xlnm.Print_Area" localSheetId="5">'sw3'!$A$1:$I$36</definedName>
    <definedName name="_xlnm.Print_Area" localSheetId="1">swA!$A$1:$I$43</definedName>
    <definedName name="_xlnm.Print_Area" localSheetId="2">swB!$A$1:$I$36</definedName>
    <definedName name="_xlnm.Print_Area" localSheetId="0">'wind-siesmic'!$A$2:$J$80</definedName>
  </definedNames>
  <calcPr calcId="152511"/>
</workbook>
</file>

<file path=xl/calcChain.xml><?xml version="1.0" encoding="utf-8"?>
<calcChain xmlns="http://schemas.openxmlformats.org/spreadsheetml/2006/main">
  <c r="C8" i="1" l="1"/>
  <c r="I86" i="1" l="1"/>
  <c r="C49" i="17" l="1"/>
  <c r="F49" i="17" s="1"/>
  <c r="G49" i="17" s="1"/>
  <c r="I49" i="17" s="1"/>
  <c r="E31" i="15" l="1"/>
  <c r="G31" i="15" s="1"/>
  <c r="D31" i="15"/>
  <c r="A107" i="1" l="1"/>
  <c r="D107" i="1"/>
  <c r="E107" i="1"/>
  <c r="S107" i="1"/>
  <c r="H56" i="1"/>
  <c r="H59" i="1"/>
  <c r="H60" i="1"/>
  <c r="H61" i="1"/>
  <c r="F44" i="17"/>
  <c r="B44" i="17"/>
  <c r="E44" i="17" s="1"/>
  <c r="F43" i="17"/>
  <c r="E43" i="17"/>
  <c r="B43" i="17"/>
  <c r="F42" i="17"/>
  <c r="E42" i="17"/>
  <c r="B42" i="17"/>
  <c r="I24" i="17"/>
  <c r="I23" i="17"/>
  <c r="I22" i="17"/>
  <c r="D22" i="17"/>
  <c r="C22" i="17"/>
  <c r="B22" i="17"/>
  <c r="I21" i="17"/>
  <c r="D15" i="17"/>
  <c r="C15" i="17"/>
  <c r="B15" i="17"/>
  <c r="D10" i="17"/>
  <c r="C10" i="17"/>
  <c r="B10" i="17"/>
  <c r="F8" i="17"/>
  <c r="C7" i="17"/>
  <c r="F5" i="17"/>
  <c r="C5" i="17"/>
  <c r="B5" i="17"/>
  <c r="F4" i="17"/>
  <c r="B7" i="17" s="1"/>
  <c r="B5" i="14"/>
  <c r="B5" i="16"/>
  <c r="C5" i="15"/>
  <c r="D5" i="15"/>
  <c r="B5" i="15"/>
  <c r="B79" i="1"/>
  <c r="F61" i="1"/>
  <c r="C60" i="1"/>
  <c r="C61" i="1"/>
  <c r="B61" i="1"/>
  <c r="A80" i="1"/>
  <c r="D80" i="1"/>
  <c r="B78" i="1"/>
  <c r="B74" i="1"/>
  <c r="D7" i="17" l="1"/>
  <c r="F60" i="1"/>
  <c r="B60" i="1"/>
  <c r="B59" i="1"/>
  <c r="F59" i="1"/>
  <c r="C59" i="1"/>
  <c r="H55" i="1"/>
  <c r="C56" i="1"/>
  <c r="C55" i="1"/>
  <c r="B56" i="1"/>
  <c r="B55" i="1"/>
  <c r="F41" i="16" l="1"/>
  <c r="B41" i="16"/>
  <c r="E41" i="16" s="1"/>
  <c r="F40" i="16"/>
  <c r="B40" i="16"/>
  <c r="E40" i="16" s="1"/>
  <c r="F39" i="16"/>
  <c r="B39" i="16"/>
  <c r="I24" i="16"/>
  <c r="I23" i="16"/>
  <c r="I22" i="16"/>
  <c r="D22" i="16"/>
  <c r="C22" i="16"/>
  <c r="B22" i="16"/>
  <c r="I21" i="16"/>
  <c r="D15" i="16"/>
  <c r="C15" i="16"/>
  <c r="B15" i="16"/>
  <c r="D10" i="16"/>
  <c r="C10" i="16"/>
  <c r="B10" i="16"/>
  <c r="F8" i="16"/>
  <c r="F5" i="16"/>
  <c r="D5" i="16"/>
  <c r="C5" i="16"/>
  <c r="F4" i="16"/>
  <c r="D7" i="16" s="1"/>
  <c r="F45" i="15"/>
  <c r="B45" i="15"/>
  <c r="E45" i="15" s="1"/>
  <c r="F44" i="15"/>
  <c r="B44" i="15"/>
  <c r="E44" i="15" s="1"/>
  <c r="F43" i="15"/>
  <c r="B43" i="15"/>
  <c r="E43" i="15" s="1"/>
  <c r="I24" i="15"/>
  <c r="I23" i="15"/>
  <c r="I22" i="15"/>
  <c r="D22" i="15"/>
  <c r="C22" i="15"/>
  <c r="B22" i="15"/>
  <c r="I21" i="15"/>
  <c r="D15" i="15"/>
  <c r="C15" i="15"/>
  <c r="B15" i="15"/>
  <c r="D10" i="15"/>
  <c r="C10" i="15"/>
  <c r="B10" i="15"/>
  <c r="F8" i="15"/>
  <c r="F5" i="15"/>
  <c r="F4" i="15"/>
  <c r="D7" i="15" s="1"/>
  <c r="F41" i="14"/>
  <c r="B41" i="14"/>
  <c r="E41" i="14" s="1"/>
  <c r="F40" i="14"/>
  <c r="B40" i="14"/>
  <c r="E40" i="14" s="1"/>
  <c r="F39" i="14"/>
  <c r="B39" i="14"/>
  <c r="E39" i="14" s="1"/>
  <c r="I24" i="14"/>
  <c r="I23" i="14"/>
  <c r="I22" i="14"/>
  <c r="D22" i="14"/>
  <c r="C22" i="14"/>
  <c r="B22" i="14"/>
  <c r="I21" i="14"/>
  <c r="D15" i="14"/>
  <c r="C15" i="14"/>
  <c r="B15" i="14"/>
  <c r="D10" i="14"/>
  <c r="C10" i="14"/>
  <c r="B10" i="14"/>
  <c r="F8" i="14"/>
  <c r="F5" i="14"/>
  <c r="C5" i="14"/>
  <c r="F4" i="14"/>
  <c r="C7" i="14" s="1"/>
  <c r="I21" i="3"/>
  <c r="I22" i="3"/>
  <c r="I23" i="3"/>
  <c r="I24" i="3"/>
  <c r="B7" i="14" l="1"/>
  <c r="C7" i="16"/>
  <c r="D7" i="14"/>
  <c r="C7" i="15"/>
  <c r="E39" i="16"/>
  <c r="B7" i="16"/>
  <c r="B7" i="15"/>
  <c r="C11" i="1"/>
  <c r="C10" i="1"/>
  <c r="C15" i="1" l="1"/>
  <c r="G56" i="1" s="1"/>
  <c r="E8" i="1"/>
  <c r="C14" i="1"/>
  <c r="G61" i="1" s="1"/>
  <c r="H80" i="1" s="1"/>
  <c r="I80" i="1" l="1"/>
  <c r="F7" i="17"/>
  <c r="G55" i="1"/>
  <c r="G60" i="1"/>
  <c r="G59" i="1"/>
  <c r="B36" i="1"/>
  <c r="D31" i="17" l="1"/>
  <c r="G7" i="17"/>
  <c r="D73" i="1"/>
  <c r="E73" i="1" s="1"/>
  <c r="C5" i="3"/>
  <c r="B5" i="3"/>
  <c r="D106" i="1"/>
  <c r="E106" i="1"/>
  <c r="S106" i="1"/>
  <c r="B16" i="17" l="1"/>
  <c r="C16" i="17"/>
  <c r="D16" i="17"/>
  <c r="F31" i="17"/>
  <c r="G31" i="17" s="1"/>
  <c r="E31" i="17"/>
  <c r="B39" i="3"/>
  <c r="E39" i="3" s="1"/>
  <c r="F39" i="3"/>
  <c r="D102" i="1" l="1"/>
  <c r="E102" i="1"/>
  <c r="S101" i="1"/>
  <c r="A106" i="1"/>
  <c r="A105" i="1"/>
  <c r="A102" i="1"/>
  <c r="A101" i="1"/>
  <c r="E105" i="1"/>
  <c r="D105" i="1"/>
  <c r="E101" i="1"/>
  <c r="D101" i="1"/>
  <c r="B92" i="1"/>
  <c r="B94" i="1" s="1"/>
  <c r="S105" i="1" l="1"/>
  <c r="S102" i="1" l="1"/>
  <c r="F38" i="3" l="1"/>
  <c r="F37" i="3"/>
  <c r="B38" i="3"/>
  <c r="E38" i="3" s="1"/>
  <c r="B37" i="3"/>
  <c r="E37" i="3" l="1"/>
  <c r="C22" i="3"/>
  <c r="D22" i="3"/>
  <c r="B22" i="3"/>
  <c r="F5" i="3" l="1"/>
  <c r="D15" i="3"/>
  <c r="D10" i="3"/>
  <c r="F8" i="3"/>
  <c r="F4" i="3"/>
  <c r="C7" i="3" s="1"/>
  <c r="B10" i="3"/>
  <c r="C10" i="3"/>
  <c r="B15" i="3"/>
  <c r="C15" i="3"/>
  <c r="B7" i="3" l="1"/>
  <c r="D7" i="3"/>
  <c r="A79" i="1"/>
  <c r="B46" i="1" l="1"/>
  <c r="B47" i="1" s="1"/>
  <c r="B35" i="1"/>
  <c r="D74" i="1"/>
  <c r="E74" i="1" s="1"/>
  <c r="D78" i="1"/>
  <c r="E78" i="1" s="1"/>
  <c r="D79" i="1"/>
  <c r="A73" i="1"/>
  <c r="A74" i="1"/>
  <c r="A78" i="1"/>
  <c r="B34" i="1"/>
  <c r="D56" i="1" l="1"/>
  <c r="D60" i="1"/>
  <c r="F3" i="17"/>
  <c r="D61" i="1"/>
  <c r="E61" i="1" s="1"/>
  <c r="F80" i="1" s="1"/>
  <c r="D58" i="1"/>
  <c r="D55" i="1"/>
  <c r="D57" i="1"/>
  <c r="D59" i="1"/>
  <c r="E59" i="1" s="1"/>
  <c r="F78" i="1" s="1"/>
  <c r="F3" i="16"/>
  <c r="F3" i="15"/>
  <c r="F3" i="14"/>
  <c r="E55" i="1"/>
  <c r="H74" i="1"/>
  <c r="F3" i="3"/>
  <c r="E60" i="1"/>
  <c r="H73" i="1"/>
  <c r="E56" i="1"/>
  <c r="F74" i="1" s="1"/>
  <c r="I73" i="1" l="1"/>
  <c r="F7" i="15"/>
  <c r="I74" i="1"/>
  <c r="F7" i="16"/>
  <c r="G80" i="1"/>
  <c r="B107" i="1" s="1"/>
  <c r="F6" i="17"/>
  <c r="D6" i="17"/>
  <c r="D8" i="17" s="1"/>
  <c r="B6" i="17"/>
  <c r="B8" i="17" s="1"/>
  <c r="C6" i="17"/>
  <c r="C8" i="17" s="1"/>
  <c r="G78" i="1"/>
  <c r="F6" i="3"/>
  <c r="G74" i="1"/>
  <c r="B102" i="1" s="1"/>
  <c r="F6" i="16"/>
  <c r="D6" i="14"/>
  <c r="D8" i="14" s="1"/>
  <c r="B6" i="14"/>
  <c r="B8" i="14" s="1"/>
  <c r="C6" i="14"/>
  <c r="C8" i="14" s="1"/>
  <c r="C6" i="15"/>
  <c r="C8" i="15" s="1"/>
  <c r="D6" i="15"/>
  <c r="D8" i="15" s="1"/>
  <c r="B6" i="15"/>
  <c r="B8" i="15" s="1"/>
  <c r="B6" i="16"/>
  <c r="B8" i="16" s="1"/>
  <c r="D6" i="16"/>
  <c r="D8" i="16" s="1"/>
  <c r="C6" i="16"/>
  <c r="C8" i="16" s="1"/>
  <c r="F73" i="1"/>
  <c r="D86" i="1"/>
  <c r="G86" i="1" s="1"/>
  <c r="H79" i="1"/>
  <c r="F79" i="1"/>
  <c r="D6" i="3"/>
  <c r="D8" i="3" s="1"/>
  <c r="C6" i="3"/>
  <c r="C8" i="3" s="1"/>
  <c r="B6" i="3"/>
  <c r="B8" i="3" s="1"/>
  <c r="H78" i="1"/>
  <c r="D30" i="16" l="1"/>
  <c r="G7" i="16"/>
  <c r="I78" i="1"/>
  <c r="B105" i="1" s="1"/>
  <c r="Q105" i="1" s="1"/>
  <c r="F7" i="3"/>
  <c r="D36" i="15"/>
  <c r="G7" i="15"/>
  <c r="I79" i="1"/>
  <c r="B106" i="1" s="1"/>
  <c r="F7" i="14"/>
  <c r="B17" i="17"/>
  <c r="B18" i="17" s="1"/>
  <c r="B12" i="17"/>
  <c r="D17" i="17"/>
  <c r="D18" i="17" s="1"/>
  <c r="D12" i="17"/>
  <c r="C38" i="17"/>
  <c r="D38" i="17" s="1"/>
  <c r="G6" i="17"/>
  <c r="C37" i="17"/>
  <c r="D37" i="17" s="1"/>
  <c r="C12" i="17"/>
  <c r="C17" i="17"/>
  <c r="C18" i="17" s="1"/>
  <c r="P107" i="1"/>
  <c r="K107" i="1"/>
  <c r="L107" i="1" s="1"/>
  <c r="R107" i="1" s="1"/>
  <c r="Q107" i="1"/>
  <c r="G79" i="1"/>
  <c r="F6" i="14"/>
  <c r="G6" i="3"/>
  <c r="G6" i="16"/>
  <c r="G73" i="1"/>
  <c r="B101" i="1" s="1"/>
  <c r="P101" i="1" s="1"/>
  <c r="F6" i="15"/>
  <c r="D12" i="16"/>
  <c r="D17" i="16"/>
  <c r="C12" i="15"/>
  <c r="C17" i="15"/>
  <c r="B17" i="16"/>
  <c r="B12" i="16"/>
  <c r="C12" i="14"/>
  <c r="C17" i="14"/>
  <c r="B17" i="15"/>
  <c r="B12" i="15"/>
  <c r="B17" i="14"/>
  <c r="B12" i="14"/>
  <c r="C17" i="16"/>
  <c r="C12" i="16"/>
  <c r="D17" i="15"/>
  <c r="D12" i="15"/>
  <c r="D12" i="14"/>
  <c r="D17" i="14"/>
  <c r="P102" i="1"/>
  <c r="Q102" i="1"/>
  <c r="K102" i="1"/>
  <c r="L102" i="1" s="1"/>
  <c r="R102" i="1" s="1"/>
  <c r="C17" i="3"/>
  <c r="C12" i="3"/>
  <c r="B17" i="3"/>
  <c r="B12" i="3"/>
  <c r="D12" i="3"/>
  <c r="D17" i="3"/>
  <c r="K105" i="1" l="1"/>
  <c r="L105" i="1" s="1"/>
  <c r="R105" i="1" s="1"/>
  <c r="P105" i="1"/>
  <c r="D28" i="14"/>
  <c r="G7" i="14"/>
  <c r="D28" i="3"/>
  <c r="F28" i="3" s="1"/>
  <c r="G28" i="3" s="1"/>
  <c r="G7" i="3"/>
  <c r="A31" i="15"/>
  <c r="B16" i="15"/>
  <c r="B18" i="15" s="1"/>
  <c r="D16" i="15"/>
  <c r="D18" i="15" s="1"/>
  <c r="C16" i="15"/>
  <c r="C18" i="15" s="1"/>
  <c r="D16" i="16"/>
  <c r="D18" i="16" s="1"/>
  <c r="B16" i="16"/>
  <c r="B18" i="16" s="1"/>
  <c r="C16" i="16"/>
  <c r="C18" i="16" s="1"/>
  <c r="F36" i="15"/>
  <c r="G36" i="15" s="1"/>
  <c r="E36" i="15"/>
  <c r="F30" i="16"/>
  <c r="G30" i="16" s="1"/>
  <c r="E30" i="16"/>
  <c r="C44" i="17"/>
  <c r="G44" i="17" s="1"/>
  <c r="B11" i="17"/>
  <c r="B13" i="17" s="1"/>
  <c r="B21" i="17" s="1"/>
  <c r="B23" i="17" s="1"/>
  <c r="B25" i="17" s="1"/>
  <c r="B26" i="17" s="1"/>
  <c r="C42" i="17"/>
  <c r="G42" i="17" s="1"/>
  <c r="C11" i="17"/>
  <c r="C13" i="17" s="1"/>
  <c r="D11" i="17"/>
  <c r="D13" i="17" s="1"/>
  <c r="D21" i="17" s="1"/>
  <c r="D23" i="17" s="1"/>
  <c r="D26" i="17" s="1"/>
  <c r="C43" i="17"/>
  <c r="G43" i="17" s="1"/>
  <c r="C21" i="17"/>
  <c r="C23" i="17" s="1"/>
  <c r="C26" i="17" s="1"/>
  <c r="H107" i="1"/>
  <c r="I107" i="1" s="1"/>
  <c r="J107" i="1" s="1"/>
  <c r="C34" i="14"/>
  <c r="D34" i="14" s="1"/>
  <c r="C35" i="14"/>
  <c r="D35" i="14" s="1"/>
  <c r="G6" i="14"/>
  <c r="Q101" i="1"/>
  <c r="K101" i="1"/>
  <c r="L101" i="1" s="1"/>
  <c r="R101" i="1" s="1"/>
  <c r="C11" i="3"/>
  <c r="C13" i="3" s="1"/>
  <c r="B11" i="3"/>
  <c r="B13" i="3" s="1"/>
  <c r="C37" i="3"/>
  <c r="G37" i="3" s="1"/>
  <c r="D11" i="3"/>
  <c r="D13" i="3" s="1"/>
  <c r="C13" i="16"/>
  <c r="D11" i="16"/>
  <c r="D13" i="16" s="1"/>
  <c r="C11" i="16"/>
  <c r="C41" i="16"/>
  <c r="G41" i="16" s="1"/>
  <c r="C40" i="16"/>
  <c r="G40" i="16" s="1"/>
  <c r="C39" i="16"/>
  <c r="G39" i="16" s="1"/>
  <c r="B11" i="16"/>
  <c r="B13" i="16" s="1"/>
  <c r="G6" i="15"/>
  <c r="P106" i="1"/>
  <c r="Q106" i="1"/>
  <c r="K106" i="1"/>
  <c r="L106" i="1" s="1"/>
  <c r="R106" i="1" s="1"/>
  <c r="H105" i="1"/>
  <c r="I105" i="1" s="1"/>
  <c r="J105" i="1" s="1"/>
  <c r="H102" i="1"/>
  <c r="I102" i="1" s="1"/>
  <c r="J102" i="1" s="1"/>
  <c r="H31" i="15" l="1"/>
  <c r="D21" i="16"/>
  <c r="D23" i="16" s="1"/>
  <c r="D24" i="16" s="1"/>
  <c r="E13" i="16"/>
  <c r="C16" i="3"/>
  <c r="C18" i="3" s="1"/>
  <c r="C21" i="3" s="1"/>
  <c r="C23" i="3" s="1"/>
  <c r="C24" i="3" s="1"/>
  <c r="D16" i="3"/>
  <c r="D18" i="3" s="1"/>
  <c r="D21" i="3" s="1"/>
  <c r="D23" i="3" s="1"/>
  <c r="D24" i="3" s="1"/>
  <c r="B16" i="3"/>
  <c r="B18" i="3" s="1"/>
  <c r="B21" i="3" s="1"/>
  <c r="B23" i="3" s="1"/>
  <c r="B24" i="3" s="1"/>
  <c r="C39" i="3"/>
  <c r="G39" i="3" s="1"/>
  <c r="B21" i="16"/>
  <c r="B23" i="16" s="1"/>
  <c r="B24" i="16" s="1"/>
  <c r="C38" i="3"/>
  <c r="G38" i="3" s="1"/>
  <c r="D16" i="14"/>
  <c r="D18" i="14" s="1"/>
  <c r="C16" i="14"/>
  <c r="C18" i="14" s="1"/>
  <c r="B16" i="14"/>
  <c r="B18" i="14" s="1"/>
  <c r="E28" i="14"/>
  <c r="F28" i="14"/>
  <c r="G28" i="14" s="1"/>
  <c r="E18" i="16"/>
  <c r="H101" i="1"/>
  <c r="I101" i="1" s="1"/>
  <c r="J101" i="1" s="1"/>
  <c r="E18" i="17"/>
  <c r="E13" i="17"/>
  <c r="B11" i="14"/>
  <c r="B13" i="14" s="1"/>
  <c r="C11" i="14"/>
  <c r="C13" i="14" s="1"/>
  <c r="D11" i="14"/>
  <c r="D13" i="14" s="1"/>
  <c r="C40" i="14"/>
  <c r="G40" i="14" s="1"/>
  <c r="C41" i="14"/>
  <c r="G41" i="14" s="1"/>
  <c r="C39" i="14"/>
  <c r="G39" i="14" s="1"/>
  <c r="C21" i="16"/>
  <c r="C23" i="16" s="1"/>
  <c r="C24" i="16" s="1"/>
  <c r="C45" i="15"/>
  <c r="G45" i="15" s="1"/>
  <c r="C44" i="15"/>
  <c r="G44" i="15" s="1"/>
  <c r="B11" i="15"/>
  <c r="B13" i="15" s="1"/>
  <c r="B21" i="15" s="1"/>
  <c r="B23" i="15" s="1"/>
  <c r="B25" i="15" s="1"/>
  <c r="B26" i="15" s="1"/>
  <c r="C43" i="15"/>
  <c r="G43" i="15" s="1"/>
  <c r="C11" i="15"/>
  <c r="C13" i="15" s="1"/>
  <c r="D11" i="15"/>
  <c r="D13" i="15" s="1"/>
  <c r="D21" i="15" s="1"/>
  <c r="D23" i="15" s="1"/>
  <c r="D25" i="15" s="1"/>
  <c r="D26" i="15" s="1"/>
  <c r="H106" i="1"/>
  <c r="I106" i="1" s="1"/>
  <c r="J106" i="1" s="1"/>
  <c r="E13" i="3" l="1"/>
  <c r="D21" i="14"/>
  <c r="D23" i="14" s="1"/>
  <c r="D24" i="14" s="1"/>
  <c r="B21" i="14"/>
  <c r="B23" i="14" s="1"/>
  <c r="B24" i="14" s="1"/>
  <c r="E18" i="3"/>
  <c r="C21" i="14"/>
  <c r="C23" i="14" s="1"/>
  <c r="C24" i="14" s="1"/>
  <c r="E18" i="14"/>
  <c r="E13" i="14"/>
  <c r="C21" i="15"/>
  <c r="C23" i="15" s="1"/>
  <c r="C25" i="15" s="1"/>
  <c r="C26" i="15" s="1"/>
  <c r="E13" i="15"/>
  <c r="E18" i="15"/>
</calcChain>
</file>

<file path=xl/comments1.xml><?xml version="1.0" encoding="utf-8"?>
<comments xmlns="http://schemas.openxmlformats.org/spreadsheetml/2006/main">
  <authors>
    <author>RTweed</author>
    <author>RGriffith</author>
  </authors>
  <commentList>
    <comment ref="C54" authorId="0" shapeId="0">
      <text>
        <r>
          <rPr>
            <b/>
            <sz val="8"/>
            <color indexed="81"/>
            <rFont val="Tahoma"/>
            <family val="2"/>
          </rPr>
          <t>RTweed:</t>
        </r>
        <r>
          <rPr>
            <sz val="8"/>
            <color indexed="81"/>
            <rFont val="Tahoma"/>
            <family val="2"/>
          </rPr>
          <t xml:space="preserve">
entered full wall</t>
        </r>
      </text>
    </comment>
    <comment ref="H95" authorId="1" shapeId="0">
      <text>
        <r>
          <rPr>
            <b/>
            <sz val="8"/>
            <color indexed="81"/>
            <rFont val="Tahoma"/>
            <family val="2"/>
          </rPr>
          <t>RGriffith:</t>
        </r>
        <r>
          <rPr>
            <sz val="8"/>
            <color indexed="81"/>
            <rFont val="Tahoma"/>
            <family val="2"/>
          </rPr>
          <t xml:space="preserve">
No ASD reduction per ASCE 12.8</t>
        </r>
      </text>
    </comment>
  </commentList>
</comments>
</file>

<file path=xl/sharedStrings.xml><?xml version="1.0" encoding="utf-8"?>
<sst xmlns="http://schemas.openxmlformats.org/spreadsheetml/2006/main" count="512" uniqueCount="211">
  <si>
    <t>Basic Wind Speed =</t>
  </si>
  <si>
    <t>I=</t>
  </si>
  <si>
    <r>
      <t>S</t>
    </r>
    <r>
      <rPr>
        <vertAlign val="subscript"/>
        <sz val="10"/>
        <rFont val="Arial"/>
        <family val="2"/>
      </rPr>
      <t>DS=</t>
    </r>
  </si>
  <si>
    <t>C</t>
  </si>
  <si>
    <t>Wind Exposure =</t>
  </si>
  <si>
    <t>Seismic</t>
  </si>
  <si>
    <t>Grid</t>
  </si>
  <si>
    <t>Wind</t>
  </si>
  <si>
    <t>R=</t>
  </si>
  <si>
    <t>B</t>
  </si>
  <si>
    <r>
      <t>S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=</t>
    </r>
  </si>
  <si>
    <t>Wall Weight (psf)</t>
  </si>
  <si>
    <t>Roof Weight (psf)</t>
  </si>
  <si>
    <t>Factor Values</t>
  </si>
  <si>
    <t>Roof Pitch</t>
  </si>
  <si>
    <t>:12</t>
  </si>
  <si>
    <t>Check When S1 ≥ 0.6</t>
  </si>
  <si>
    <t>Weights</t>
  </si>
  <si>
    <t>Seismic Factor</t>
  </si>
  <si>
    <r>
      <t>A</t>
    </r>
    <r>
      <rPr>
        <vertAlign val="subscript"/>
        <sz val="10"/>
        <rFont val="Arial"/>
        <family val="2"/>
      </rPr>
      <t>roof</t>
    </r>
    <r>
      <rPr>
        <sz val="10"/>
        <rFont val="Arial"/>
        <family val="2"/>
      </rPr>
      <t xml:space="preserve"> (sf)</t>
    </r>
  </si>
  <si>
    <r>
      <t>A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 xml:space="preserve"> (sf)</t>
    </r>
  </si>
  <si>
    <r>
      <t>C</t>
    </r>
    <r>
      <rPr>
        <vertAlign val="subscript"/>
        <sz val="10"/>
        <rFont val="Arial"/>
        <family val="2"/>
      </rPr>
      <t>smin</t>
    </r>
    <r>
      <rPr>
        <sz val="10"/>
        <rFont val="Arial"/>
        <family val="2"/>
      </rPr>
      <t>=</t>
    </r>
  </si>
  <si>
    <r>
      <t>C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</t>
    </r>
  </si>
  <si>
    <t>Wall Height (ft)=</t>
  </si>
  <si>
    <t>Wall Height Adj. Factor=</t>
  </si>
  <si>
    <t>Roof Pitch=</t>
  </si>
  <si>
    <t>WFCM Table 2.5A</t>
  </si>
  <si>
    <t>ASCE 7-05 Eq. 12.8-2</t>
  </si>
  <si>
    <t>ASCE 7-05 Eq. 12.8-6</t>
  </si>
  <si>
    <t>USGS (Sheet 3 attached)</t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</si>
  <si>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=0.7C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W (lbs)</t>
    </r>
  </si>
  <si>
    <r>
      <t>V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(lbs)</t>
    </r>
  </si>
  <si>
    <t>Wind Exp. Adj. Factor=</t>
  </si>
  <si>
    <t>1/2 shtg=</t>
  </si>
  <si>
    <t>Truss=</t>
  </si>
  <si>
    <t>5/8 Gyp=</t>
  </si>
  <si>
    <t>Misc=</t>
  </si>
  <si>
    <t>Subtotal=</t>
  </si>
  <si>
    <t>Adjusted=</t>
  </si>
  <si>
    <r>
      <t>W</t>
    </r>
    <r>
      <rPr>
        <vertAlign val="subscript"/>
        <sz val="10"/>
        <rFont val="Arial"/>
        <family val="2"/>
      </rPr>
      <t>tributary</t>
    </r>
    <r>
      <rPr>
        <sz val="10"/>
        <rFont val="Arial"/>
        <family val="2"/>
      </rPr>
      <t xml:space="preserve"> (lbs)</t>
    </r>
  </si>
  <si>
    <r>
      <t>L</t>
    </r>
    <r>
      <rPr>
        <vertAlign val="subscript"/>
        <sz val="10"/>
        <rFont val="Arial"/>
        <family val="2"/>
      </rPr>
      <t>tributary</t>
    </r>
    <r>
      <rPr>
        <sz val="10"/>
        <rFont val="Arial"/>
        <family val="2"/>
      </rPr>
      <t xml:space="preserve"> (ft)</t>
    </r>
  </si>
  <si>
    <r>
      <t>Lateral Forces (V</t>
    </r>
    <r>
      <rPr>
        <b/>
        <u/>
        <vertAlign val="subscript"/>
        <sz val="11"/>
        <rFont val="Arial"/>
        <family val="2"/>
      </rPr>
      <t xml:space="preserve">s </t>
    </r>
    <r>
      <rPr>
        <b/>
        <u/>
        <sz val="11"/>
        <rFont val="Arial"/>
        <family val="2"/>
      </rPr>
      <t>/</t>
    </r>
    <r>
      <rPr>
        <b/>
        <u/>
        <vertAlign val="subscript"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V</t>
    </r>
    <r>
      <rPr>
        <b/>
        <u/>
        <vertAlign val="subscript"/>
        <sz val="11"/>
        <rFont val="Arial"/>
        <family val="2"/>
      </rPr>
      <t>w</t>
    </r>
    <r>
      <rPr>
        <b/>
        <u/>
        <sz val="11"/>
        <rFont val="Arial"/>
        <family val="2"/>
      </rPr>
      <t>)</t>
    </r>
  </si>
  <si>
    <t>ASCE 7-05 Table 12.2-1</t>
  </si>
  <si>
    <t>ASCE 7-05 Table 11.5-1</t>
  </si>
  <si>
    <t>SEISMIC:</t>
  </si>
  <si>
    <t>(+)OTM=</t>
  </si>
  <si>
    <t>(-)RM=</t>
  </si>
  <si>
    <t>WIND:</t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</si>
  <si>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</si>
  <si>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=</t>
    </r>
  </si>
  <si>
    <r>
      <t>H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>=</t>
    </r>
  </si>
  <si>
    <r>
      <t>L</t>
    </r>
    <r>
      <rPr>
        <vertAlign val="subscript"/>
        <sz val="10"/>
        <rFont val="Arial"/>
        <family val="2"/>
      </rPr>
      <t>wall=</t>
    </r>
  </si>
  <si>
    <r>
      <t>D</t>
    </r>
    <r>
      <rPr>
        <vertAlign val="subscript"/>
        <sz val="10"/>
        <rFont val="Arial"/>
        <family val="2"/>
      </rPr>
      <t>roof</t>
    </r>
    <r>
      <rPr>
        <sz val="10"/>
        <rFont val="Arial"/>
        <family val="2"/>
      </rPr>
      <t>=</t>
    </r>
  </si>
  <si>
    <r>
      <t>D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>=</t>
    </r>
  </si>
  <si>
    <r>
      <t>D</t>
    </r>
    <r>
      <rPr>
        <vertAlign val="subscript"/>
        <sz val="10"/>
        <rFont val="Arial"/>
        <family val="2"/>
      </rPr>
      <t>roof psf</t>
    </r>
    <r>
      <rPr>
        <sz val="10"/>
        <rFont val="Arial"/>
        <family val="2"/>
      </rPr>
      <t>=</t>
    </r>
  </si>
  <si>
    <r>
      <t>D</t>
    </r>
    <r>
      <rPr>
        <vertAlign val="subscript"/>
        <sz val="10"/>
        <rFont val="Arial"/>
        <family val="2"/>
      </rPr>
      <t>wall psf</t>
    </r>
    <r>
      <rPr>
        <sz val="10"/>
        <rFont val="Arial"/>
        <family val="2"/>
      </rPr>
      <t>=</t>
    </r>
  </si>
  <si>
    <t>Shear Walls</t>
  </si>
  <si>
    <r>
      <t>D</t>
    </r>
    <r>
      <rPr>
        <sz val="10"/>
        <rFont val="Arial"/>
        <family val="2"/>
      </rPr>
      <t>=</t>
    </r>
  </si>
  <si>
    <r>
      <t>V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wall</t>
    </r>
  </si>
  <si>
    <r>
      <t>V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wall</t>
    </r>
  </si>
  <si>
    <r>
      <t>0.6D(L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>/2)</t>
    </r>
  </si>
  <si>
    <t>Values</t>
  </si>
  <si>
    <r>
      <t xml:space="preserve">TL 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>=</t>
    </r>
  </si>
  <si>
    <t>SHEAR GRID</t>
  </si>
  <si>
    <t>ΣM=</t>
  </si>
  <si>
    <t>grid</t>
  </si>
  <si>
    <t>shear wall</t>
  </si>
  <si>
    <t>ht</t>
  </si>
  <si>
    <t>check</t>
  </si>
  <si>
    <t>Vs</t>
  </si>
  <si>
    <t>Vw</t>
  </si>
  <si>
    <r>
      <t>(0.6D-0.7(0.2S</t>
    </r>
    <r>
      <rPr>
        <vertAlign val="subscript"/>
        <sz val="10"/>
        <rFont val="Arial"/>
        <family val="2"/>
      </rPr>
      <t>DS</t>
    </r>
    <r>
      <rPr>
        <sz val="10"/>
        <rFont val="Arial"/>
        <family val="2"/>
      </rPr>
      <t>D))(L</t>
    </r>
    <r>
      <rPr>
        <vertAlign val="subscript"/>
        <sz val="10"/>
        <rFont val="Arial"/>
        <family val="2"/>
      </rPr>
      <t>wall</t>
    </r>
    <r>
      <rPr>
        <sz val="10"/>
        <rFont val="Arial"/>
        <family val="2"/>
      </rPr>
      <t>/2)</t>
    </r>
  </si>
  <si>
    <t>UPLIFT:</t>
  </si>
  <si>
    <t>Uplift</t>
  </si>
  <si>
    <r>
      <t>A</t>
    </r>
    <r>
      <rPr>
        <vertAlign val="subscript"/>
        <sz val="10"/>
        <rFont val="Arial"/>
        <family val="2"/>
      </rPr>
      <t>trib</t>
    </r>
    <r>
      <rPr>
        <sz val="10"/>
        <rFont val="Arial"/>
        <family val="2"/>
      </rPr>
      <t>=</t>
    </r>
  </si>
  <si>
    <t>5/8 A.B.</t>
  </si>
  <si>
    <t>LTP4</t>
  </si>
  <si>
    <t>H1</t>
  </si>
  <si>
    <t>HTT4</t>
  </si>
  <si>
    <t>HTT5</t>
  </si>
  <si>
    <t>LTT20B</t>
  </si>
  <si>
    <t>SSTB16</t>
  </si>
  <si>
    <t>SSTB20</t>
  </si>
  <si>
    <t>A</t>
  </si>
  <si>
    <t>L</t>
  </si>
  <si>
    <t>Spacing</t>
  </si>
  <si>
    <r>
      <t>Check # A.B. &gt;T</t>
    </r>
    <r>
      <rPr>
        <sz val="9"/>
        <rFont val="Arial"/>
        <family val="2"/>
      </rPr>
      <t>tl</t>
    </r>
    <r>
      <rPr>
        <sz val="10"/>
        <rFont val="Arial"/>
        <family val="2"/>
      </rPr>
      <t xml:space="preserve"> V</t>
    </r>
  </si>
  <si>
    <t xml:space="preserve"> A.B. (tot)</t>
  </si>
  <si>
    <r>
      <t>T</t>
    </r>
    <r>
      <rPr>
        <sz val="9"/>
        <rFont val="Arial"/>
        <family val="2"/>
      </rPr>
      <t>tl</t>
    </r>
    <r>
      <rPr>
        <sz val="10"/>
        <rFont val="Arial"/>
        <family val="2"/>
      </rPr>
      <t xml:space="preserve"> V=L*V</t>
    </r>
    <r>
      <rPr>
        <sz val="10"/>
        <rFont val="Arial"/>
        <family val="2"/>
      </rPr>
      <t xml:space="preserve"> plf</t>
    </r>
  </si>
  <si>
    <t>Stucco</t>
  </si>
  <si>
    <t>ceiling (sf)</t>
  </si>
  <si>
    <t>add-in</t>
  </si>
  <si>
    <t>&lt;2= apply 1.3 factor</t>
  </si>
  <si>
    <t>Story Drift Limit</t>
  </si>
  <si>
    <r>
      <t>Δ ≤ Δ</t>
    </r>
    <r>
      <rPr>
        <b/>
        <vertAlign val="subscript"/>
        <sz val="10"/>
        <rFont val="Arial"/>
        <family val="2"/>
      </rPr>
      <t>a</t>
    </r>
  </si>
  <si>
    <r>
      <rPr>
        <i/>
        <sz val="10"/>
        <rFont val="Arial"/>
        <family val="2"/>
      </rPr>
      <t>h</t>
    </r>
    <r>
      <rPr>
        <i/>
        <vertAlign val="subscript"/>
        <sz val="10"/>
        <rFont val="Arial"/>
        <family val="2"/>
      </rPr>
      <t>sx</t>
    </r>
    <r>
      <rPr>
        <sz val="10"/>
        <rFont val="Arial"/>
        <family val="2"/>
      </rPr>
      <t>=</t>
    </r>
  </si>
  <si>
    <r>
      <t>C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=</t>
    </r>
  </si>
  <si>
    <t>[ASCE 7-05 TABLE 12.2-1]</t>
  </si>
  <si>
    <r>
      <t>Δ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</si>
  <si>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>Δ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 0.020</t>
    </r>
    <r>
      <rPr>
        <i/>
        <sz val="10"/>
        <rFont val="Arial"/>
        <family val="2"/>
      </rPr>
      <t>h</t>
    </r>
    <r>
      <rPr>
        <i/>
        <vertAlign val="subscript"/>
        <sz val="10"/>
        <rFont val="Arial"/>
        <family val="2"/>
      </rPr>
      <t>sx</t>
    </r>
  </si>
  <si>
    <r>
      <t>Δ= C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Δ</t>
    </r>
    <r>
      <rPr>
        <vertAlign val="subscript"/>
        <sz val="10"/>
        <rFont val="Arial"/>
        <family val="2"/>
      </rPr>
      <t>s</t>
    </r>
  </si>
  <si>
    <r>
      <t>d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</t>
    </r>
  </si>
  <si>
    <r>
      <t xml:space="preserve">(anchorage slip; use greatest </t>
    </r>
    <r>
      <rPr>
        <sz val="8"/>
        <rFont val="Calibri"/>
        <family val="2"/>
      </rPr>
      <t>Δ</t>
    </r>
    <r>
      <rPr>
        <vertAlign val="subscript"/>
        <sz val="8"/>
        <rFont val="Calibri"/>
        <family val="2"/>
      </rPr>
      <t>all</t>
    </r>
    <r>
      <rPr>
        <sz val="8"/>
        <rFont val="Calibri"/>
        <family val="2"/>
      </rPr>
      <t xml:space="preserve">  from Table, </t>
    </r>
    <r>
      <rPr>
        <sz val="8"/>
        <rFont val="Arial"/>
        <family val="2"/>
      </rPr>
      <t>depending on which anchors are used)</t>
    </r>
  </si>
  <si>
    <t>E=</t>
  </si>
  <si>
    <t>A=</t>
  </si>
  <si>
    <r>
      <t>cross-sectional Area for 2x</t>
    </r>
    <r>
      <rPr>
        <sz val="8"/>
        <color indexed="10"/>
        <rFont val="Arial"/>
        <family val="2"/>
      </rPr>
      <t>6</t>
    </r>
    <r>
      <rPr>
        <sz val="8"/>
        <rFont val="Arial"/>
        <family val="2"/>
      </rPr>
      <t xml:space="preserve"> studs</t>
    </r>
  </si>
  <si>
    <r>
      <rPr>
        <sz val="10"/>
        <rFont val="Arial"/>
        <family val="2"/>
      </rPr>
      <t>v</t>
    </r>
    <r>
      <rPr>
        <vertAlign val="subscript"/>
        <sz val="10"/>
        <rFont val="Arial"/>
        <family val="2"/>
      </rPr>
      <t xml:space="preserve">u </t>
    </r>
    <r>
      <rPr>
        <sz val="10"/>
        <rFont val="Arial"/>
        <family val="2"/>
      </rPr>
      <t>(lb/ft)</t>
    </r>
  </si>
  <si>
    <t>S.W.</t>
  </si>
  <si>
    <t>Nail Size (d)</t>
  </si>
  <si>
    <t>Nail Spacing Along Panel Edges (in. o.c.)</t>
  </si>
  <si>
    <t>Struct I. Panels?      (Y or N)</t>
  </si>
  <si>
    <r>
      <t>Gt [</t>
    </r>
    <r>
      <rPr>
        <sz val="8"/>
        <rFont val="Arial"/>
        <family val="2"/>
      </rPr>
      <t>CBC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TABLE 2305.2.2(2)</t>
    </r>
    <r>
      <rPr>
        <sz val="10"/>
        <rFont val="Arial"/>
        <family val="2"/>
      </rPr>
      <t>] (lb/in)</t>
    </r>
  </si>
  <si>
    <t>Δb (in)</t>
  </si>
  <si>
    <t>Δv(in)</t>
  </si>
  <si>
    <t>Δn (in)</t>
  </si>
  <si>
    <t>Δa (in)</t>
  </si>
  <si>
    <r>
      <t>Δ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(in)</t>
    </r>
  </si>
  <si>
    <t>Design Story Drift Δ (in)</t>
  </si>
  <si>
    <r>
      <t xml:space="preserve">Δ </t>
    </r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Δ</t>
    </r>
    <r>
      <rPr>
        <vertAlign val="subscript"/>
        <sz val="10"/>
        <rFont val="Arial"/>
        <family val="2"/>
      </rPr>
      <t>a</t>
    </r>
  </si>
  <si>
    <r>
      <t>(V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>)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(lb/nail)</t>
    </r>
  </si>
  <si>
    <r>
      <t>Nail Deformation (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n</t>
    </r>
    <r>
      <rPr>
        <i/>
        <sz val="10"/>
        <rFont val="Arial"/>
        <family val="2"/>
      </rPr>
      <t>)</t>
    </r>
  </si>
  <si>
    <t>Y</t>
  </si>
  <si>
    <t>SHEARWALL SCHEDULE</t>
  </si>
  <si>
    <t>15/32" STRUCT I Panel</t>
  </si>
  <si>
    <t>Vs (plf)</t>
  </si>
  <si>
    <t>Vw (plf)</t>
  </si>
  <si>
    <t>SSTB28</t>
  </si>
  <si>
    <t>ρ</t>
  </si>
  <si>
    <r>
      <t>2xb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>/ht &gt; 2</t>
    </r>
  </si>
  <si>
    <r>
      <t>b</t>
    </r>
    <r>
      <rPr>
        <vertAlign val="subscript"/>
        <sz val="10"/>
        <rFont val="Arial"/>
        <family val="2"/>
      </rPr>
      <t>s</t>
    </r>
  </si>
  <si>
    <t>Design Cat.=</t>
  </si>
  <si>
    <t>[ASCE 7-05 11.6]</t>
  </si>
  <si>
    <t>W</t>
  </si>
  <si>
    <t>Tension</t>
  </si>
  <si>
    <t>Check Tension at Top Plate</t>
  </si>
  <si>
    <r>
      <t>T</t>
    </r>
    <r>
      <rPr>
        <vertAlign val="subscript"/>
        <sz val="11"/>
        <rFont val="Arial"/>
        <family val="2"/>
      </rPr>
      <t>allow</t>
    </r>
  </si>
  <si>
    <t>reference for story drift-keep</t>
  </si>
  <si>
    <t>Wind Force WFCM</t>
  </si>
  <si>
    <t>Mean Roof Height</t>
  </si>
  <si>
    <t xml:space="preserve"> &lt; 33 FT </t>
  </si>
  <si>
    <t>H</t>
  </si>
  <si>
    <t>(H+1)/11</t>
  </si>
  <si>
    <t>WFCM Table 2.3.1</t>
  </si>
  <si>
    <t>HIP OR PERP. TO RIDGE=</t>
  </si>
  <si>
    <t>WFCM Table 2.5B</t>
  </si>
  <si>
    <t>V1,2 (adj) (plf)=</t>
  </si>
  <si>
    <t>VA,B (adj) (plf)=</t>
  </si>
  <si>
    <r>
      <t>GABLE OR PARALLEL TO RIDGE</t>
    </r>
    <r>
      <rPr>
        <sz val="10"/>
        <rFont val="Calibri"/>
        <family val="2"/>
      </rPr>
      <t>=</t>
    </r>
  </si>
  <si>
    <t>Roof span</t>
  </si>
  <si>
    <t>nail</t>
  </si>
  <si>
    <t>edge</t>
  </si>
  <si>
    <t>field</t>
  </si>
  <si>
    <t>plf</t>
  </si>
  <si>
    <t>ΣM/Lwall</t>
  </si>
  <si>
    <t>Connector</t>
  </si>
  <si>
    <t>SILL ANCHOR DESIGN</t>
  </si>
  <si>
    <t>RBC</t>
  </si>
  <si>
    <t>HOLDOWN SCHEDULE</t>
  </si>
  <si>
    <t>TYPE</t>
  </si>
  <si>
    <t>A.B.</t>
  </si>
  <si>
    <t>Holdown Assembly</t>
  </si>
  <si>
    <t>Cyclical</t>
  </si>
  <si>
    <t>T</t>
  </si>
  <si>
    <t>Cat. Tension</t>
  </si>
  <si>
    <t>T x 0.75</t>
  </si>
  <si>
    <t>HD7B</t>
  </si>
  <si>
    <t>&lt;280# USE #1</t>
  </si>
  <si>
    <t>HDQ8</t>
  </si>
  <si>
    <t>nails</t>
  </si>
  <si>
    <t>Clg Weight (psf)</t>
  </si>
  <si>
    <t>Asphalt =</t>
  </si>
  <si>
    <t>ALLOWANCE FOR REROOF</t>
  </si>
  <si>
    <t>Redundancy check  for Seismic Category D-F</t>
  </si>
  <si>
    <t>asce 7-10 section 12.3.4.2 (b)</t>
  </si>
  <si>
    <t>factor</t>
  </si>
  <si>
    <t xml:space="preserve">Check Aspect Ratio of Panels &gt;2:1 &lt;3.5:1 and blocked </t>
  </si>
  <si>
    <t>ADDITIONAL</t>
  </si>
  <si>
    <t>&lt;430# USE #2</t>
  </si>
  <si>
    <t>[ASCE 7-10 12.12.1]</t>
  </si>
  <si>
    <t>[ASCE 7-10 TABLE 12.12-1]</t>
  </si>
  <si>
    <t>[ASCE 7-10 12.8.6]</t>
  </si>
  <si>
    <t>Vf (lbs)</t>
  </si>
  <si>
    <t>Footing Size (ft)</t>
  </si>
  <si>
    <t>Weight (lbs)</t>
  </si>
  <si>
    <t>Soil Bearing (psf)</t>
  </si>
  <si>
    <r>
      <t>V</t>
    </r>
    <r>
      <rPr>
        <vertAlign val="subscript"/>
        <sz val="9"/>
        <rFont val="Arial"/>
      </rPr>
      <t>max</t>
    </r>
    <r>
      <rPr>
        <sz val="9"/>
        <rFont val="Arial"/>
      </rPr>
      <t>-V</t>
    </r>
    <r>
      <rPr>
        <vertAlign val="subscript"/>
        <sz val="9"/>
        <rFont val="Arial"/>
      </rPr>
      <t>min</t>
    </r>
  </si>
  <si>
    <t>D</t>
  </si>
  <si>
    <t>FF</t>
  </si>
  <si>
    <r>
      <t>W</t>
    </r>
    <r>
      <rPr>
        <vertAlign val="subscript"/>
        <sz val="9"/>
        <rFont val="Arial"/>
        <family val="2"/>
      </rPr>
      <t>conc</t>
    </r>
  </si>
  <si>
    <r>
      <t>W</t>
    </r>
    <r>
      <rPr>
        <vertAlign val="subscript"/>
        <sz val="9"/>
        <rFont val="Arial"/>
        <family val="2"/>
      </rPr>
      <t>conc</t>
    </r>
    <r>
      <rPr>
        <sz val="9"/>
        <rFont val="Arial"/>
        <family val="2"/>
      </rPr>
      <t>+Load</t>
    </r>
  </si>
  <si>
    <t>Assumed *</t>
  </si>
  <si>
    <t>Design</t>
  </si>
  <si>
    <t>FOOTING CHECK</t>
  </si>
  <si>
    <t>8-16d</t>
  </si>
  <si>
    <t>-</t>
  </si>
  <si>
    <t>Shear Transfer</t>
  </si>
  <si>
    <r>
      <t>W</t>
    </r>
    <r>
      <rPr>
        <vertAlign val="subscript"/>
        <sz val="12"/>
        <rFont val="Arial"/>
        <family val="2"/>
      </rPr>
      <t>len</t>
    </r>
  </si>
  <si>
    <t>Anchor F1</t>
  </si>
  <si>
    <t>V / F1=Req'd</t>
  </si>
  <si>
    <r>
      <t>Check TF1&gt;T</t>
    </r>
    <r>
      <rPr>
        <sz val="9"/>
        <rFont val="Arial"/>
        <family val="2"/>
      </rPr>
      <t>tl</t>
    </r>
    <r>
      <rPr>
        <sz val="10"/>
        <rFont val="Arial"/>
        <family val="2"/>
      </rPr>
      <t xml:space="preserve"> V</t>
    </r>
  </si>
  <si>
    <t>Max. o.c.</t>
  </si>
  <si>
    <r>
      <t>W</t>
    </r>
    <r>
      <rPr>
        <vertAlign val="subscript"/>
        <sz val="12"/>
        <rFont val="Arial"/>
        <family val="2"/>
      </rPr>
      <t>Len</t>
    </r>
  </si>
  <si>
    <t>sw width= bs</t>
  </si>
  <si>
    <t>Wall hgt = h</t>
  </si>
  <si>
    <t>Aspect Ratio</t>
  </si>
  <si>
    <t>V</t>
  </si>
  <si>
    <t>Reduction</t>
  </si>
  <si>
    <t>SW plf</t>
  </si>
  <si>
    <t>Reduction &gt; V</t>
  </si>
  <si>
    <t>H2.5A  provided for uplift at truss 600# &gt; 512# per TABLE R802.11</t>
  </si>
  <si>
    <t>Note: shear anchors are provided along length of collector.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</si>
</sst>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(* #,##0.00_);_(* \(#,##0.00\);_(* &quot;-&quot;??_);_(@_)"/>
    <numFmt numFmtId="164" formatCode="0.0"/>
    <numFmt numFmtId="165" formatCode="0\ &quot;mph&quot;"/>
    <numFmt numFmtId="166" formatCode="0&quot;plf&quot;"/>
    <numFmt numFmtId="167" formatCode="0.000"/>
    <numFmt numFmtId="168" formatCode="0\ &quot;plf&quot;"/>
    <numFmt numFmtId="169" formatCode="0\ &quot;ft-lbs&quot;"/>
    <numFmt numFmtId="170" formatCode="0&quot;ft s.w.&quot;"/>
    <numFmt numFmtId="171" formatCode="0&quot;=&quot;"/>
    <numFmt numFmtId="172" formatCode="0\ &quot;sf&quot;"/>
    <numFmt numFmtId="173" formatCode="0\ &quot;lb&quot;"/>
    <numFmt numFmtId="174" formatCode="0.0\ &quot;ft s.w.&quot;"/>
    <numFmt numFmtId="175" formatCode="0\ &quot;in.&quot;"/>
    <numFmt numFmtId="176" formatCode="#\ \f\t"/>
    <numFmt numFmtId="177" formatCode="#.00\ &quot;in&quot;"/>
    <numFmt numFmtId="178" formatCode="0.000\ &quot;in&quot;"/>
    <numFmt numFmtId="179" formatCode="#\ &quot;psi&quot;"/>
    <numFmt numFmtId="180" formatCode="#.00\ &quot;sq in&quot;"/>
    <numFmt numFmtId="181" formatCode="0.0000"/>
    <numFmt numFmtId="183" formatCode="0.0\ &quot;ft&quot;"/>
    <numFmt numFmtId="184" formatCode="0.0\ \f\t"/>
    <numFmt numFmtId="185" formatCode="0\ &quot;in. o/c&quot;"/>
    <numFmt numFmtId="186" formatCode="0.00\ &quot;ft s.w.&quot;"/>
    <numFmt numFmtId="187" formatCode="0.0&quot;ft s.w.&quot;"/>
    <numFmt numFmtId="188" formatCode="#.0\ \f\t"/>
    <numFmt numFmtId="192" formatCode="0&quot;:12&quot;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u/>
      <vertAlign val="subscript"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sz val="8"/>
      <name val="Calibri"/>
      <family val="2"/>
    </font>
    <font>
      <vertAlign val="subscript"/>
      <sz val="8"/>
      <name val="Calibri"/>
      <family val="2"/>
    </font>
    <font>
      <sz val="8"/>
      <color indexed="1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vertAlign val="subscript"/>
      <sz val="11"/>
      <name val="Arial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sz val="9"/>
      <name val="Arial"/>
    </font>
    <font>
      <vertAlign val="subscript"/>
      <sz val="9"/>
      <name val="Arial"/>
    </font>
    <font>
      <vertAlign val="subscript"/>
      <sz val="9"/>
      <name val="Arial"/>
      <family val="2"/>
    </font>
    <font>
      <vertAlign val="subscript"/>
      <sz val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indexed="51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12" fillId="4" borderId="10" applyNumberFormat="0" applyAlignment="0" applyProtection="0"/>
    <xf numFmtId="0" fontId="1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13" applyNumberFormat="0" applyAlignment="0" applyProtection="0"/>
    <xf numFmtId="0" fontId="1" fillId="0" borderId="0"/>
  </cellStyleXfs>
  <cellXfs count="288">
    <xf numFmtId="0" fontId="0" fillId="0" borderId="0" xfId="0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5" fillId="2" borderId="1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Border="1"/>
    <xf numFmtId="167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70" fontId="0" fillId="0" borderId="1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8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left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7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/>
    <xf numFmtId="17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73" fontId="0" fillId="0" borderId="1" xfId="0" applyNumberFormat="1" applyFill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72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Border="1" applyAlignment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9" fontId="0" fillId="3" borderId="1" xfId="0" applyNumberFormat="1" applyFill="1" applyBorder="1" applyAlignment="1">
      <alignment horizontal="center"/>
    </xf>
    <xf numFmtId="173" fontId="0" fillId="3" borderId="1" xfId="0" applyNumberFormat="1" applyFill="1" applyBorder="1" applyAlignment="1">
      <alignment horizontal="center"/>
    </xf>
    <xf numFmtId="174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12" fillId="4" borderId="10" xfId="2" applyNumberForma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2" applyNumberFormat="1" applyFill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8" fontId="12" fillId="4" borderId="10" xfId="2" applyNumberFormat="1" applyAlignment="1">
      <alignment horizontal="center"/>
    </xf>
    <xf numFmtId="179" fontId="0" fillId="0" borderId="1" xfId="1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180" fontId="12" fillId="4" borderId="10" xfId="2" applyNumberFormat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/>
    <xf numFmtId="0" fontId="1" fillId="0" borderId="9" xfId="0" applyFont="1" applyFill="1" applyBorder="1" applyAlignment="1">
      <alignment horizontal="right"/>
    </xf>
    <xf numFmtId="0" fontId="0" fillId="0" borderId="1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3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2" fillId="4" borderId="10" xfId="2" applyAlignment="1">
      <alignment horizontal="center"/>
    </xf>
    <xf numFmtId="0" fontId="12" fillId="0" borderId="10" xfId="2" applyFill="1" applyAlignment="1">
      <alignment horizontal="center"/>
    </xf>
    <xf numFmtId="3" fontId="12" fillId="0" borderId="10" xfId="2" applyNumberFormat="1" applyFill="1" applyAlignment="1">
      <alignment horizontal="center"/>
    </xf>
    <xf numFmtId="2" fontId="13" fillId="0" borderId="1" xfId="3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/>
    </xf>
    <xf numFmtId="18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/>
    <xf numFmtId="1" fontId="12" fillId="0" borderId="10" xfId="2" applyNumberFormat="1" applyFill="1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2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6" applyFont="1" applyAlignment="1">
      <alignment horizontal="left"/>
    </xf>
    <xf numFmtId="0" fontId="27" fillId="0" borderId="0" xfId="6" applyFont="1"/>
    <xf numFmtId="0" fontId="27" fillId="0" borderId="1" xfId="6" applyFont="1" applyBorder="1" applyAlignment="1">
      <alignment horizontal="center"/>
    </xf>
    <xf numFmtId="165" fontId="27" fillId="0" borderId="1" xfId="6" applyNumberFormat="1" applyFont="1" applyBorder="1" applyAlignment="1">
      <alignment horizontal="center"/>
    </xf>
    <xf numFmtId="1" fontId="27" fillId="0" borderId="1" xfId="6" applyNumberFormat="1" applyFont="1" applyBorder="1" applyAlignment="1">
      <alignment horizontal="center"/>
    </xf>
    <xf numFmtId="2" fontId="27" fillId="0" borderId="1" xfId="6" applyNumberFormat="1" applyFont="1" applyBorder="1" applyAlignment="1">
      <alignment horizontal="center"/>
    </xf>
    <xf numFmtId="0" fontId="26" fillId="7" borderId="13" xfId="5" applyAlignment="1">
      <alignment horizontal="center"/>
    </xf>
    <xf numFmtId="1" fontId="25" fillId="6" borderId="1" xfId="4" applyNumberFormat="1" applyBorder="1" applyAlignment="1">
      <alignment horizontal="center"/>
    </xf>
    <xf numFmtId="0" fontId="27" fillId="0" borderId="0" xfId="6" applyFont="1" applyFill="1" applyBorder="1" applyAlignment="1"/>
    <xf numFmtId="0" fontId="27" fillId="0" borderId="9" xfId="6" applyFont="1" applyBorder="1" applyAlignment="1">
      <alignment horizontal="center"/>
    </xf>
    <xf numFmtId="0" fontId="27" fillId="0" borderId="0" xfId="6" applyFont="1" applyAlignment="1">
      <alignment horizontal="center"/>
    </xf>
    <xf numFmtId="0" fontId="27" fillId="0" borderId="0" xfId="6" applyFont="1" applyBorder="1" applyAlignment="1">
      <alignment horizontal="center"/>
    </xf>
    <xf numFmtId="0" fontId="27" fillId="0" borderId="9" xfId="6" applyFont="1" applyBorder="1" applyAlignment="1">
      <alignment horizontal="left"/>
    </xf>
    <xf numFmtId="183" fontId="26" fillId="7" borderId="14" xfId="5" applyNumberFormat="1" applyBorder="1" applyAlignment="1">
      <alignment horizontal="center"/>
    </xf>
    <xf numFmtId="184" fontId="27" fillId="0" borderId="1" xfId="6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75" fontId="0" fillId="0" borderId="1" xfId="0" applyNumberFormat="1" applyFill="1" applyBorder="1" applyAlignment="1">
      <alignment horizontal="center"/>
    </xf>
    <xf numFmtId="185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86" fontId="9" fillId="0" borderId="1" xfId="0" applyNumberFormat="1" applyFon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0" fillId="0" borderId="0" xfId="0" applyNumberFormat="1" applyAlignment="1">
      <alignment horizontal="center"/>
    </xf>
    <xf numFmtId="173" fontId="1" fillId="0" borderId="0" xfId="0" applyNumberFormat="1" applyFont="1" applyFill="1" applyBorder="1" applyAlignment="1">
      <alignment horizontal="center"/>
    </xf>
    <xf numFmtId="187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2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/>
    <xf numFmtId="188" fontId="0" fillId="0" borderId="1" xfId="0" applyNumberForma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88" fontId="1" fillId="0" borderId="1" xfId="0" applyNumberFormat="1" applyFont="1" applyBorder="1" applyAlignment="1">
      <alignment horizontal="center"/>
    </xf>
    <xf numFmtId="173" fontId="1" fillId="0" borderId="1" xfId="0" applyNumberFormat="1" applyFont="1" applyBorder="1" applyAlignment="1">
      <alignment horizontal="center"/>
    </xf>
    <xf numFmtId="168" fontId="33" fillId="0" borderId="1" xfId="0" applyNumberFormat="1" applyFont="1" applyBorder="1" applyAlignment="1">
      <alignment horizontal="center"/>
    </xf>
    <xf numFmtId="173" fontId="33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" fontId="0" fillId="0" borderId="1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8" fontId="0" fillId="0" borderId="17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7" fillId="0" borderId="9" xfId="6" applyFont="1" applyBorder="1" applyAlignment="1">
      <alignment horizontal="left"/>
    </xf>
    <xf numFmtId="0" fontId="27" fillId="0" borderId="0" xfId="6" applyFont="1" applyBorder="1" applyAlignment="1">
      <alignment horizontal="left"/>
    </xf>
    <xf numFmtId="0" fontId="27" fillId="0" borderId="3" xfId="6" applyFont="1" applyBorder="1" applyAlignment="1">
      <alignment horizontal="right"/>
    </xf>
    <xf numFmtId="0" fontId="27" fillId="0" borderId="4" xfId="6" applyFont="1" applyBorder="1" applyAlignment="1">
      <alignment horizontal="right"/>
    </xf>
    <xf numFmtId="0" fontId="27" fillId="0" borderId="1" xfId="6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/>
    <xf numFmtId="0" fontId="27" fillId="0" borderId="9" xfId="6" applyFont="1" applyBorder="1" applyAlignment="1">
      <alignment horizontal="center"/>
    </xf>
    <xf numFmtId="0" fontId="27" fillId="0" borderId="0" xfId="6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2" fillId="0" borderId="1" xfId="6" applyFont="1" applyBorder="1" applyAlignment="1">
      <alignment horizontal="right"/>
    </xf>
    <xf numFmtId="0" fontId="25" fillId="6" borderId="3" xfId="4" applyBorder="1" applyAlignment="1">
      <alignment horizontal="right"/>
    </xf>
    <xf numFmtId="0" fontId="25" fillId="6" borderId="4" xfId="4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192" fontId="27" fillId="0" borderId="1" xfId="6" applyNumberFormat="1" applyFont="1" applyBorder="1" applyAlignment="1">
      <alignment horizontal="center"/>
    </xf>
  </cellXfs>
  <cellStyles count="7">
    <cellStyle name="Bad" xfId="4" builtinId="27"/>
    <cellStyle name="Comma" xfId="1" builtinId="3"/>
    <cellStyle name="Explanatory Text" xfId="3" builtinId="53"/>
    <cellStyle name="Input" xfId="5" builtinId="20"/>
    <cellStyle name="Normal" xfId="0" builtinId="0"/>
    <cellStyle name="Normal 2" xfId="6"/>
    <cellStyle name="Output" xfId="2" builtinId="21"/>
  </cellStyles>
  <dxfs count="71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theme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361715</xdr:colOff>
      <xdr:row>111</xdr:row>
      <xdr:rowOff>59591</xdr:rowOff>
    </xdr:from>
    <xdr:to>
      <xdr:col>1</xdr:col>
      <xdr:colOff>580790</xdr:colOff>
      <xdr:row>111</xdr:row>
      <xdr:rowOff>221680</xdr:rowOff>
    </xdr:to>
    <xdr:sp macro="" textlink="">
      <xdr:nvSpPr>
        <xdr:cNvPr id="6" name="Isosceles Triangle 5"/>
        <xdr:cNvSpPr/>
      </xdr:nvSpPr>
      <xdr:spPr>
        <a:xfrm>
          <a:off x="1268232" y="19759919"/>
          <a:ext cx="219075" cy="162089"/>
        </a:xfrm>
        <a:prstGeom prst="triangl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18</xdr:row>
          <xdr:rowOff>114300</xdr:rowOff>
        </xdr:from>
        <xdr:to>
          <xdr:col>1</xdr:col>
          <xdr:colOff>247650</xdr:colOff>
          <xdr:row>22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57150</xdr:rowOff>
        </xdr:from>
        <xdr:to>
          <xdr:col>1</xdr:col>
          <xdr:colOff>295275</xdr:colOff>
          <xdr:row>27</xdr:row>
          <xdr:rowOff>95250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83</xdr:row>
          <xdr:rowOff>114300</xdr:rowOff>
        </xdr:from>
        <xdr:to>
          <xdr:col>2</xdr:col>
          <xdr:colOff>133350</xdr:colOff>
          <xdr:row>85</xdr:row>
          <xdr:rowOff>142875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189638</xdr:colOff>
      <xdr:row>27</xdr:row>
      <xdr:rowOff>4224</xdr:rowOff>
    </xdr:from>
    <xdr:ext cx="930949" cy="4176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A00-000002000000}"/>
                </a:ext>
              </a:extLst>
            </xdr:cNvPr>
            <xdr:cNvSpPr txBox="1"/>
          </xdr:nvSpPr>
          <xdr:spPr>
            <a:xfrm>
              <a:off x="189638" y="6055400"/>
              <a:ext cx="930949" cy="417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400" baseline="0"/>
                <a:t>V x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400" b="0" i="1">
                          <a:latin typeface="Cambria Math"/>
                        </a:rPr>
                        <m:t>2</m:t>
                      </m:r>
                      <m:r>
                        <a:rPr lang="en-US" sz="1400" b="0" i="1">
                          <a:latin typeface="Cambria Math"/>
                        </a:rPr>
                        <m:t>𝑏𝑠</m:t>
                      </m:r>
                    </m:num>
                    <m:den>
                      <m:r>
                        <a:rPr lang="en-US" sz="1400" b="0" i="1">
                          <a:latin typeface="Cambria Math"/>
                        </a:rPr>
                        <m:t>h</m:t>
                      </m:r>
                    </m:den>
                  </m:f>
                </m:oMath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A00-000002000000}"/>
                </a:ext>
              </a:extLst>
            </xdr:cNvPr>
            <xdr:cNvSpPr txBox="1"/>
          </xdr:nvSpPr>
          <xdr:spPr>
            <a:xfrm>
              <a:off x="189638" y="6055400"/>
              <a:ext cx="930949" cy="4176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400" baseline="0"/>
                <a:t>V x </a:t>
              </a:r>
              <a:r>
                <a:rPr lang="en-US" sz="1400" b="0" i="0">
                  <a:latin typeface="Cambria Math"/>
                </a:rPr>
                <a:t>2𝑏𝑠</a:t>
              </a:r>
              <a:r>
                <a:rPr lang="en-US" sz="1400" b="0" i="0">
                  <a:latin typeface="Cambria Math" panose="02040503050406030204" pitchFamily="18" charset="0"/>
                </a:rPr>
                <a:t>/</a:t>
              </a:r>
              <a:r>
                <a:rPr lang="en-US" sz="1400" b="0" i="0">
                  <a:latin typeface="Cambria Math"/>
                </a:rPr>
                <a:t>ℎ</a:t>
              </a:r>
              <a:endParaRPr lang="en-US" sz="14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409398</xdr:colOff>
      <xdr:row>32</xdr:row>
      <xdr:rowOff>38335</xdr:rowOff>
    </xdr:from>
    <xdr:to>
      <xdr:col>10</xdr:col>
      <xdr:colOff>554345</xdr:colOff>
      <xdr:row>44</xdr:row>
      <xdr:rowOff>134714</xdr:rowOff>
    </xdr:to>
    <xdr:pic>
      <xdr:nvPicPr>
        <xdr:cNvPr id="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" t="3334" r="6808" b="4445"/>
        <a:stretch>
          <a:fillRect/>
        </a:stretch>
      </xdr:blipFill>
      <xdr:spPr bwMode="auto">
        <a:xfrm>
          <a:off x="5811434" y="7440621"/>
          <a:ext cx="2294875" cy="1484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7"/>
  <sheetViews>
    <sheetView showGridLines="0" tabSelected="1" zoomScale="85" zoomScaleNormal="85" zoomScaleSheetLayoutView="100" workbookViewId="0">
      <selection activeCell="C8" sqref="C8"/>
    </sheetView>
  </sheetViews>
  <sheetFormatPr defaultRowHeight="12.75" x14ac:dyDescent="0.2"/>
  <cols>
    <col min="1" max="2" width="13.5703125" customWidth="1"/>
    <col min="3" max="3" width="10.85546875" customWidth="1"/>
    <col min="4" max="4" width="11.85546875" customWidth="1"/>
    <col min="5" max="5" width="14.28515625" customWidth="1"/>
    <col min="6" max="6" width="10.28515625" customWidth="1"/>
    <col min="7" max="7" width="9.85546875" customWidth="1"/>
    <col min="8" max="8" width="10.5703125" customWidth="1"/>
    <col min="9" max="9" width="12.28515625" customWidth="1"/>
    <col min="10" max="10" width="6.140625" customWidth="1"/>
    <col min="11" max="15" width="9.140625" hidden="1" customWidth="1"/>
    <col min="16" max="16" width="10.7109375" hidden="1" customWidth="1"/>
    <col min="17" max="19" width="9.140625" hidden="1" customWidth="1"/>
  </cols>
  <sheetData>
    <row r="2" spans="1:8" ht="15" x14ac:dyDescent="0.25">
      <c r="A2" s="150" t="s">
        <v>137</v>
      </c>
      <c r="B2" s="150"/>
      <c r="C2" s="151"/>
      <c r="D2" s="151"/>
      <c r="E2" s="151"/>
    </row>
    <row r="3" spans="1:8" ht="14.25" customHeight="1" x14ac:dyDescent="0.2">
      <c r="A3" s="151"/>
      <c r="B3" s="151"/>
      <c r="C3" s="151"/>
      <c r="D3" s="151"/>
      <c r="E3" s="151"/>
    </row>
    <row r="4" spans="1:8" x14ac:dyDescent="0.2">
      <c r="A4" s="249" t="s">
        <v>4</v>
      </c>
      <c r="B4" s="249"/>
      <c r="C4" s="152" t="s">
        <v>3</v>
      </c>
      <c r="D4" s="151"/>
      <c r="E4" s="151"/>
    </row>
    <row r="5" spans="1:8" x14ac:dyDescent="0.2">
      <c r="A5" s="249" t="s">
        <v>0</v>
      </c>
      <c r="B5" s="249"/>
      <c r="C5" s="153">
        <v>110</v>
      </c>
      <c r="D5" s="253"/>
      <c r="E5" s="254"/>
    </row>
    <row r="6" spans="1:8" x14ac:dyDescent="0.2">
      <c r="A6" s="249" t="s">
        <v>25</v>
      </c>
      <c r="B6" s="249"/>
      <c r="C6" s="287">
        <v>5</v>
      </c>
    </row>
    <row r="7" spans="1:8" s="143" customFormat="1" x14ac:dyDescent="0.2">
      <c r="A7" s="247" t="s">
        <v>148</v>
      </c>
      <c r="B7" s="248"/>
      <c r="C7" s="164">
        <v>24</v>
      </c>
    </row>
    <row r="8" spans="1:8" ht="15" x14ac:dyDescent="0.25">
      <c r="A8" s="247" t="s">
        <v>138</v>
      </c>
      <c r="B8" s="248"/>
      <c r="C8" s="163">
        <f>(C7/2*C6/12)+(3.5/12)+C9</f>
        <v>13.291666666666668</v>
      </c>
      <c r="D8" s="151" t="s">
        <v>139</v>
      </c>
      <c r="E8" s="151" t="str">
        <f>IF(C8&lt;33,"OK","NOT GOOD")</f>
        <v>OK</v>
      </c>
    </row>
    <row r="9" spans="1:8" x14ac:dyDescent="0.2">
      <c r="A9" s="247" t="s">
        <v>23</v>
      </c>
      <c r="B9" s="248"/>
      <c r="C9" s="154">
        <v>8</v>
      </c>
      <c r="D9" s="159" t="s">
        <v>140</v>
      </c>
      <c r="E9" s="160"/>
    </row>
    <row r="10" spans="1:8" x14ac:dyDescent="0.2">
      <c r="A10" s="247" t="s">
        <v>24</v>
      </c>
      <c r="B10" s="248"/>
      <c r="C10" s="155">
        <f>(C9+1)/11</f>
        <v>0.81818181818181823</v>
      </c>
      <c r="D10" s="159" t="s">
        <v>141</v>
      </c>
      <c r="E10" s="160"/>
    </row>
    <row r="11" spans="1:8" x14ac:dyDescent="0.2">
      <c r="A11" s="247" t="s">
        <v>32</v>
      </c>
      <c r="B11" s="248"/>
      <c r="C11" s="152">
        <f>IF(C8&lt;=15,1.18,IF(C8&lt;=20,1.25,IF(C8&lt;=25,1.31,IF(C8&lt;=30,1.36,IF(C8&lt;=33,1.39)))))</f>
        <v>1.18</v>
      </c>
      <c r="D11" s="162" t="s">
        <v>142</v>
      </c>
      <c r="E11" s="161"/>
    </row>
    <row r="12" spans="1:8" ht="15.75" customHeight="1" x14ac:dyDescent="0.25">
      <c r="A12" s="258" t="s">
        <v>143</v>
      </c>
      <c r="B12" s="249"/>
      <c r="C12" s="156">
        <v>83</v>
      </c>
      <c r="D12" s="245" t="s">
        <v>26</v>
      </c>
      <c r="E12" s="246"/>
      <c r="H12" s="38"/>
    </row>
    <row r="13" spans="1:8" ht="15.75" customHeight="1" x14ac:dyDescent="0.25">
      <c r="A13" s="249" t="s">
        <v>147</v>
      </c>
      <c r="B13" s="249"/>
      <c r="C13" s="156">
        <v>77</v>
      </c>
      <c r="D13" s="245" t="s">
        <v>144</v>
      </c>
      <c r="E13" s="246"/>
      <c r="H13" s="38"/>
    </row>
    <row r="14" spans="1:8" ht="15.75" customHeight="1" x14ac:dyDescent="0.25">
      <c r="A14" s="259" t="s">
        <v>145</v>
      </c>
      <c r="B14" s="260"/>
      <c r="C14" s="157">
        <f>$C$10*$C$11*C12</f>
        <v>80.132727272727266</v>
      </c>
      <c r="D14" s="151"/>
      <c r="E14" s="158"/>
      <c r="H14" s="38"/>
    </row>
    <row r="15" spans="1:8" ht="15.75" customHeight="1" x14ac:dyDescent="0.25">
      <c r="A15" s="259" t="s">
        <v>146</v>
      </c>
      <c r="B15" s="260"/>
      <c r="C15" s="157">
        <f>$C$10*$C$11*C13</f>
        <v>74.34</v>
      </c>
      <c r="D15" s="151"/>
      <c r="E15" s="158"/>
      <c r="H15" s="38"/>
    </row>
    <row r="16" spans="1:8" ht="15.75" customHeight="1" x14ac:dyDescent="0.2">
      <c r="D16" s="18"/>
      <c r="E16" s="50"/>
      <c r="F16" s="50"/>
      <c r="G16" s="12"/>
    </row>
    <row r="18" spans="1:7" ht="15" x14ac:dyDescent="0.25">
      <c r="A18" s="230" t="s">
        <v>18</v>
      </c>
      <c r="B18" s="230"/>
      <c r="C18" s="15"/>
      <c r="D18" s="12"/>
    </row>
    <row r="19" spans="1:7" x14ac:dyDescent="0.2">
      <c r="A19" s="7"/>
      <c r="B19" s="7"/>
      <c r="C19" s="7"/>
      <c r="D19" s="7"/>
    </row>
    <row r="20" spans="1:7" x14ac:dyDescent="0.2">
      <c r="A20" s="8"/>
      <c r="B20" s="7"/>
    </row>
    <row r="21" spans="1:7" x14ac:dyDescent="0.2">
      <c r="C21" s="18" t="s">
        <v>27</v>
      </c>
    </row>
    <row r="25" spans="1:7" x14ac:dyDescent="0.2">
      <c r="C25" s="18" t="s">
        <v>28</v>
      </c>
    </row>
    <row r="26" spans="1:7" x14ac:dyDescent="0.2">
      <c r="C26" t="s">
        <v>16</v>
      </c>
    </row>
    <row r="29" spans="1:7" x14ac:dyDescent="0.2">
      <c r="A29" s="231" t="s">
        <v>13</v>
      </c>
      <c r="B29" s="232"/>
      <c r="F29" s="252"/>
      <c r="G29" s="252"/>
    </row>
    <row r="30" spans="1:7" ht="15.75" x14ac:dyDescent="0.3">
      <c r="A30" s="1" t="s">
        <v>2</v>
      </c>
      <c r="B30" s="10">
        <v>2.0190000000000001</v>
      </c>
      <c r="C30" s="18" t="s">
        <v>29</v>
      </c>
      <c r="F30" s="78"/>
    </row>
    <row r="31" spans="1:7" ht="15.75" x14ac:dyDescent="0.3">
      <c r="A31" s="1" t="s">
        <v>10</v>
      </c>
      <c r="B31" s="3">
        <v>0.95699999999999996</v>
      </c>
      <c r="C31" s="18" t="s">
        <v>29</v>
      </c>
      <c r="F31" s="78"/>
    </row>
    <row r="32" spans="1:7" x14ac:dyDescent="0.2">
      <c r="A32" s="1" t="s">
        <v>8</v>
      </c>
      <c r="B32" s="3">
        <v>6.5</v>
      </c>
      <c r="C32" s="18" t="s">
        <v>42</v>
      </c>
    </row>
    <row r="33" spans="1:12" x14ac:dyDescent="0.2">
      <c r="A33" s="1" t="s">
        <v>1</v>
      </c>
      <c r="B33" s="2">
        <v>1</v>
      </c>
      <c r="C33" s="18" t="s">
        <v>43</v>
      </c>
    </row>
    <row r="34" spans="1:12" ht="15.75" x14ac:dyDescent="0.3">
      <c r="A34" s="26" t="s">
        <v>21</v>
      </c>
      <c r="B34" s="25">
        <f>0.5*B31/(B32/B33)</f>
        <v>7.361538461538461E-2</v>
      </c>
      <c r="C34" s="4"/>
      <c r="D34" s="11"/>
      <c r="J34" s="9"/>
    </row>
    <row r="35" spans="1:12" ht="15.75" x14ac:dyDescent="0.3">
      <c r="A35" s="27" t="s">
        <v>22</v>
      </c>
      <c r="B35" s="20">
        <f>B30/(B32/B33)</f>
        <v>0.31061538461538463</v>
      </c>
    </row>
    <row r="36" spans="1:12" x14ac:dyDescent="0.2">
      <c r="A36" s="98" t="s">
        <v>130</v>
      </c>
      <c r="B36" s="124" t="str">
        <f>IF(B31&gt;0.75,"E","D")</f>
        <v>E</v>
      </c>
      <c r="C36" s="125" t="s">
        <v>131</v>
      </c>
      <c r="D36" s="125"/>
    </row>
    <row r="38" spans="1:12" ht="15" x14ac:dyDescent="0.25">
      <c r="A38" s="230" t="s">
        <v>17</v>
      </c>
      <c r="B38" s="230"/>
      <c r="J38" s="17"/>
      <c r="K38" s="17"/>
    </row>
    <row r="39" spans="1:12" x14ac:dyDescent="0.2">
      <c r="A39" s="14"/>
      <c r="B39" s="14"/>
      <c r="C39" s="14"/>
      <c r="J39" s="24"/>
      <c r="K39" s="14"/>
      <c r="L39" s="18"/>
    </row>
    <row r="40" spans="1:12" x14ac:dyDescent="0.2">
      <c r="A40" s="231" t="s">
        <v>12</v>
      </c>
      <c r="B40" s="232"/>
      <c r="F40" s="240" t="s">
        <v>11</v>
      </c>
      <c r="G40" s="241"/>
      <c r="J40" s="7"/>
      <c r="K40" s="14"/>
      <c r="L40" s="17"/>
    </row>
    <row r="41" spans="1:12" x14ac:dyDescent="0.2">
      <c r="A41" s="1" t="s">
        <v>170</v>
      </c>
      <c r="B41" s="3">
        <v>6</v>
      </c>
      <c r="C41" t="s">
        <v>171</v>
      </c>
      <c r="F41" s="1" t="s">
        <v>89</v>
      </c>
      <c r="G41" s="3">
        <v>15</v>
      </c>
      <c r="J41" s="7"/>
      <c r="K41" s="14"/>
      <c r="L41" s="14"/>
    </row>
    <row r="42" spans="1:12" x14ac:dyDescent="0.2">
      <c r="A42" s="1" t="s">
        <v>33</v>
      </c>
      <c r="B42" s="3">
        <v>1.5</v>
      </c>
      <c r="J42" s="7"/>
      <c r="K42" s="14"/>
      <c r="L42" s="13"/>
    </row>
    <row r="43" spans="1:12" x14ac:dyDescent="0.2">
      <c r="A43" s="1" t="s">
        <v>34</v>
      </c>
      <c r="B43" s="3">
        <v>3</v>
      </c>
      <c r="F43" s="242" t="s">
        <v>169</v>
      </c>
      <c r="G43" s="241"/>
      <c r="J43" s="23"/>
      <c r="K43" s="14"/>
      <c r="L43" s="22"/>
    </row>
    <row r="44" spans="1:12" x14ac:dyDescent="0.2">
      <c r="A44" s="1" t="s">
        <v>35</v>
      </c>
      <c r="B44" s="3">
        <v>2.6</v>
      </c>
      <c r="F44" s="1" t="s">
        <v>89</v>
      </c>
      <c r="G44" s="176">
        <v>15</v>
      </c>
      <c r="J44" s="23"/>
      <c r="K44" s="14"/>
    </row>
    <row r="45" spans="1:12" x14ac:dyDescent="0.2">
      <c r="A45" s="1" t="s">
        <v>36</v>
      </c>
      <c r="B45" s="19">
        <v>1</v>
      </c>
      <c r="J45" s="23"/>
      <c r="K45" s="7"/>
    </row>
    <row r="46" spans="1:12" x14ac:dyDescent="0.2">
      <c r="A46" s="1" t="s">
        <v>37</v>
      </c>
      <c r="B46" s="3">
        <f>SUM(B41:B45)</f>
        <v>14.1</v>
      </c>
      <c r="C46" s="239" t="s">
        <v>14</v>
      </c>
      <c r="D46" s="239"/>
    </row>
    <row r="47" spans="1:12" x14ac:dyDescent="0.2">
      <c r="A47" s="1" t="s">
        <v>38</v>
      </c>
      <c r="B47" s="2">
        <f>(SQRT(C47^2+12^2)/12)*B46</f>
        <v>15.274999999999999</v>
      </c>
      <c r="C47" s="6">
        <v>5</v>
      </c>
      <c r="D47" s="6" t="s">
        <v>15</v>
      </c>
    </row>
    <row r="48" spans="1:12" s="131" customFormat="1" x14ac:dyDescent="0.2">
      <c r="A48" s="8"/>
      <c r="B48" s="43"/>
      <c r="C48" s="7"/>
      <c r="D48" s="7"/>
    </row>
    <row r="49" spans="1:9" x14ac:dyDescent="0.2">
      <c r="I49" s="136"/>
    </row>
    <row r="50" spans="1:9" s="131" customFormat="1" x14ac:dyDescent="0.2">
      <c r="E50" s="36"/>
      <c r="F50" s="134"/>
      <c r="G50" s="134"/>
      <c r="H50" s="36"/>
    </row>
    <row r="51" spans="1:9" s="131" customFormat="1" ht="16.5" x14ac:dyDescent="0.3">
      <c r="A51" s="230" t="s">
        <v>41</v>
      </c>
      <c r="B51" s="230"/>
      <c r="C51" s="230"/>
      <c r="E51" s="36"/>
      <c r="F51" s="134"/>
      <c r="G51" s="134"/>
      <c r="H51" s="36"/>
    </row>
    <row r="52" spans="1:9" x14ac:dyDescent="0.2">
      <c r="A52" s="132"/>
      <c r="B52" s="132"/>
      <c r="C52" s="132"/>
      <c r="D52" s="132"/>
      <c r="E52" s="132"/>
      <c r="F52" s="132"/>
      <c r="G52" s="132"/>
      <c r="H52" s="132"/>
      <c r="I52" s="132"/>
    </row>
    <row r="53" spans="1:9" x14ac:dyDescent="0.2">
      <c r="A53" s="256" t="s">
        <v>6</v>
      </c>
      <c r="B53" s="239" t="s">
        <v>5</v>
      </c>
      <c r="C53" s="239"/>
      <c r="D53" s="239"/>
      <c r="E53" s="239"/>
      <c r="F53" s="243" t="s">
        <v>7</v>
      </c>
      <c r="G53" s="239"/>
      <c r="H53" s="76" t="s">
        <v>91</v>
      </c>
      <c r="I53" s="14"/>
    </row>
    <row r="54" spans="1:9" ht="15.75" x14ac:dyDescent="0.3">
      <c r="A54" s="257"/>
      <c r="B54" s="16" t="s">
        <v>19</v>
      </c>
      <c r="C54" s="16" t="s">
        <v>20</v>
      </c>
      <c r="D54" s="16" t="s">
        <v>39</v>
      </c>
      <c r="E54" s="21" t="s">
        <v>30</v>
      </c>
      <c r="F54" s="16" t="s">
        <v>40</v>
      </c>
      <c r="G54" s="21" t="s">
        <v>31</v>
      </c>
      <c r="H54" s="71" t="s">
        <v>90</v>
      </c>
    </row>
    <row r="55" spans="1:9" x14ac:dyDescent="0.2">
      <c r="A55" s="52" t="s">
        <v>83</v>
      </c>
      <c r="B55" s="3">
        <f>((31.75/2)+2+1)*32</f>
        <v>604</v>
      </c>
      <c r="C55" s="29">
        <f>((31.75/2)+32)*8/2</f>
        <v>191.5</v>
      </c>
      <c r="D55" s="29">
        <f>B55*$B$47+C55*$G$41+H55*$G$44</f>
        <v>13765.474999999999</v>
      </c>
      <c r="E55" s="28">
        <f t="shared" ref="E55:E56" si="0">0.7*$B$35*D55</f>
        <v>2993.0378180769226</v>
      </c>
      <c r="F55" s="3">
        <v>15.8</v>
      </c>
      <c r="G55" s="28">
        <f>$C$15*F55</f>
        <v>1174.5720000000001</v>
      </c>
      <c r="H55" s="29">
        <f>31.75/2*7</f>
        <v>111.125</v>
      </c>
    </row>
    <row r="56" spans="1:9" x14ac:dyDescent="0.2">
      <c r="A56" s="52" t="s">
        <v>9</v>
      </c>
      <c r="B56" s="176">
        <f>((31.75/2)+2+1)*32</f>
        <v>604</v>
      </c>
      <c r="C56" s="29">
        <f>((31.75/2)+32)*8/2</f>
        <v>191.5</v>
      </c>
      <c r="D56" s="29">
        <f t="shared" ref="D56:D61" si="1">B56*$B$47+C56*$G$41+H56*$G$44</f>
        <v>12374.224999999999</v>
      </c>
      <c r="E56" s="28">
        <f t="shared" si="0"/>
        <v>2690.5372603846149</v>
      </c>
      <c r="F56" s="3">
        <v>15.8</v>
      </c>
      <c r="G56" s="28">
        <f>$C$15*F56</f>
        <v>1174.5720000000001</v>
      </c>
      <c r="H56" s="29">
        <f>(18.5-31.75/2)*7</f>
        <v>18.375</v>
      </c>
    </row>
    <row r="57" spans="1:9" x14ac:dyDescent="0.2">
      <c r="A57" s="3"/>
      <c r="B57" s="3"/>
      <c r="C57" s="3"/>
      <c r="D57" s="29">
        <f t="shared" si="1"/>
        <v>0</v>
      </c>
      <c r="E57" s="28"/>
      <c r="F57" s="3"/>
      <c r="G57" s="28"/>
      <c r="H57" s="76"/>
    </row>
    <row r="58" spans="1:9" x14ac:dyDescent="0.2">
      <c r="A58" s="3"/>
      <c r="B58" s="3"/>
      <c r="C58" s="3"/>
      <c r="D58" s="29">
        <f t="shared" si="1"/>
        <v>0</v>
      </c>
      <c r="E58" s="28"/>
      <c r="F58" s="3"/>
      <c r="G58" s="28"/>
      <c r="H58" s="76"/>
    </row>
    <row r="59" spans="1:9" x14ac:dyDescent="0.2">
      <c r="A59" s="52">
        <v>1</v>
      </c>
      <c r="B59" s="29">
        <f>(31.75+4)*(7/2+1)</f>
        <v>160.875</v>
      </c>
      <c r="C59" s="3">
        <f>(13.25+7)*8/2</f>
        <v>81</v>
      </c>
      <c r="D59" s="29">
        <f t="shared" si="1"/>
        <v>4643.6156250000004</v>
      </c>
      <c r="E59" s="28">
        <f t="shared" ref="E59" si="2">0.7*$B$35*D59</f>
        <v>1009.6649173557694</v>
      </c>
      <c r="F59" s="3">
        <f>7/2+1</f>
        <v>4.5</v>
      </c>
      <c r="G59" s="28">
        <f>$C$14*F59</f>
        <v>360.5972727272727</v>
      </c>
      <c r="H59" s="76">
        <f>7/2*18.5</f>
        <v>64.75</v>
      </c>
    </row>
    <row r="60" spans="1:9" x14ac:dyDescent="0.2">
      <c r="A60" s="49">
        <v>2</v>
      </c>
      <c r="B60" s="29">
        <f>(31.75+4)*(7/2+25/2)</f>
        <v>572</v>
      </c>
      <c r="C60" s="29">
        <f>(18.5+7/2+25)*8/2</f>
        <v>188</v>
      </c>
      <c r="D60" s="29">
        <f t="shared" si="1"/>
        <v>12528.55</v>
      </c>
      <c r="E60" s="28">
        <f t="shared" ref="E60" si="3">0.7*$B$35*D60</f>
        <v>2724.0922638461539</v>
      </c>
      <c r="F60" s="49">
        <f>25/2+7/2</f>
        <v>16</v>
      </c>
      <c r="G60" s="28">
        <f>$C$14*F60</f>
        <v>1282.1236363636363</v>
      </c>
      <c r="H60" s="176">
        <f>7/2*18.5</f>
        <v>64.75</v>
      </c>
    </row>
    <row r="61" spans="1:9" x14ac:dyDescent="0.2">
      <c r="A61" s="3">
        <v>3</v>
      </c>
      <c r="B61" s="29">
        <f>(31.75+4)*(25/2)</f>
        <v>446.875</v>
      </c>
      <c r="C61" s="29">
        <f>(25)*8/2</f>
        <v>100</v>
      </c>
      <c r="D61" s="29">
        <f t="shared" si="1"/>
        <v>9297.265625</v>
      </c>
      <c r="E61" s="28">
        <f t="shared" ref="E61" si="4">0.7*$B$35*D61</f>
        <v>2021.5116165865386</v>
      </c>
      <c r="F61" s="176">
        <f>25/2+15/2</f>
        <v>20</v>
      </c>
      <c r="G61" s="28">
        <f>$C$14*F61</f>
        <v>1602.6545454545453</v>
      </c>
      <c r="H61" s="176">
        <f>7/2*18.5</f>
        <v>64.75</v>
      </c>
    </row>
    <row r="62" spans="1:9" x14ac:dyDescent="0.2">
      <c r="A62" s="3"/>
      <c r="B62" s="3"/>
      <c r="C62" s="3"/>
      <c r="D62" s="29"/>
      <c r="E62" s="28"/>
      <c r="F62" s="3"/>
      <c r="G62" s="28"/>
      <c r="H62" s="76"/>
    </row>
    <row r="63" spans="1:9" x14ac:dyDescent="0.2">
      <c r="A63" s="77"/>
      <c r="B63" s="77"/>
      <c r="C63" s="77"/>
      <c r="D63" s="29"/>
      <c r="E63" s="28"/>
      <c r="F63" s="77"/>
      <c r="G63" s="28"/>
      <c r="H63" s="77"/>
    </row>
    <row r="64" spans="1:9" x14ac:dyDescent="0.2">
      <c r="A64" s="77"/>
      <c r="B64" s="77"/>
      <c r="C64" s="77"/>
      <c r="D64" s="29"/>
      <c r="E64" s="28"/>
      <c r="F64" s="77"/>
      <c r="G64" s="28"/>
      <c r="H64" s="77"/>
    </row>
    <row r="65" spans="1:12" x14ac:dyDescent="0.2">
      <c r="A65" s="79"/>
      <c r="B65" s="79"/>
      <c r="D65" s="36"/>
      <c r="E65" s="12"/>
      <c r="F65" s="82"/>
      <c r="G65" s="12"/>
    </row>
    <row r="66" spans="1:12" x14ac:dyDescent="0.2">
      <c r="A66" s="79"/>
      <c r="B66" s="79"/>
      <c r="D66" s="36"/>
      <c r="E66" s="12"/>
      <c r="F66" s="82"/>
      <c r="G66" s="12"/>
    </row>
    <row r="68" spans="1:12" x14ac:dyDescent="0.2">
      <c r="A68" t="s">
        <v>172</v>
      </c>
    </row>
    <row r="69" spans="1:12" x14ac:dyDescent="0.2">
      <c r="A69" t="s">
        <v>173</v>
      </c>
      <c r="D69" t="s">
        <v>92</v>
      </c>
    </row>
    <row r="71" spans="1:12" ht="15.75" x14ac:dyDescent="0.3">
      <c r="A71" s="75" t="s">
        <v>65</v>
      </c>
      <c r="B71" s="75" t="s">
        <v>66</v>
      </c>
      <c r="C71" s="244" t="s">
        <v>128</v>
      </c>
      <c r="D71" s="239"/>
      <c r="E71" s="6"/>
      <c r="F71" s="6"/>
      <c r="G71" s="6"/>
      <c r="H71" s="6"/>
      <c r="I71" s="6"/>
    </row>
    <row r="72" spans="1:12" ht="15.75" x14ac:dyDescent="0.3">
      <c r="A72" s="75"/>
      <c r="B72" s="52" t="s">
        <v>129</v>
      </c>
      <c r="C72" s="75" t="s">
        <v>67</v>
      </c>
      <c r="D72" s="75" t="s">
        <v>68</v>
      </c>
      <c r="E72" s="122" t="s">
        <v>127</v>
      </c>
      <c r="F72" s="123" t="s">
        <v>69</v>
      </c>
      <c r="G72" s="121" t="s">
        <v>124</v>
      </c>
      <c r="H72" s="121" t="s">
        <v>70</v>
      </c>
      <c r="I72" s="121" t="s">
        <v>125</v>
      </c>
    </row>
    <row r="73" spans="1:12" x14ac:dyDescent="0.2">
      <c r="A73" s="75" t="str">
        <f>A55</f>
        <v>A</v>
      </c>
      <c r="B73" s="10">
        <v>13</v>
      </c>
      <c r="C73" s="75">
        <v>8</v>
      </c>
      <c r="D73" s="2">
        <f>2*B73/C73</f>
        <v>3.25</v>
      </c>
      <c r="E73" s="121">
        <f t="shared" ref="E73:E78" si="5">IF(D73&lt;2,1.3,1)</f>
        <v>1</v>
      </c>
      <c r="F73" s="29">
        <f>E55*E73</f>
        <v>2993.0378180769226</v>
      </c>
      <c r="G73" s="29">
        <f>F73/B73</f>
        <v>230.23367831360943</v>
      </c>
      <c r="H73" s="29">
        <f>G55</f>
        <v>1174.5720000000001</v>
      </c>
      <c r="I73" s="29">
        <f>H73/B73</f>
        <v>90.351692307692318</v>
      </c>
    </row>
    <row r="74" spans="1:12" x14ac:dyDescent="0.2">
      <c r="A74" s="75" t="str">
        <f>A56</f>
        <v>B</v>
      </c>
      <c r="B74" s="75">
        <f>14.5</f>
        <v>14.5</v>
      </c>
      <c r="C74" s="75">
        <v>8</v>
      </c>
      <c r="D74" s="2">
        <f t="shared" ref="D74:D79" si="6">2*B74/C74</f>
        <v>3.625</v>
      </c>
      <c r="E74" s="121">
        <f t="shared" si="5"/>
        <v>1</v>
      </c>
      <c r="F74" s="29">
        <f>E56*E74</f>
        <v>2690.5372603846149</v>
      </c>
      <c r="G74" s="29">
        <f t="shared" ref="G74:G78" si="7">F74/B74</f>
        <v>185.55429381962861</v>
      </c>
      <c r="H74" s="29">
        <f>G56</f>
        <v>1174.5720000000001</v>
      </c>
      <c r="I74" s="29">
        <f t="shared" ref="I74:I78" si="8">H74/B74</f>
        <v>81.004965517241388</v>
      </c>
    </row>
    <row r="75" spans="1:12" hidden="1" x14ac:dyDescent="0.2">
      <c r="A75" s="75"/>
      <c r="B75" s="75"/>
      <c r="C75" s="75"/>
      <c r="D75" s="2"/>
      <c r="E75" s="121"/>
      <c r="F75" s="29"/>
      <c r="G75" s="29"/>
      <c r="H75" s="29"/>
      <c r="I75" s="29"/>
    </row>
    <row r="76" spans="1:12" hidden="1" x14ac:dyDescent="0.2">
      <c r="A76" s="75"/>
      <c r="B76" s="75"/>
      <c r="C76" s="75"/>
      <c r="D76" s="2"/>
      <c r="E76" s="121"/>
      <c r="F76" s="29"/>
      <c r="G76" s="29"/>
      <c r="H76" s="29"/>
      <c r="I76" s="29"/>
    </row>
    <row r="77" spans="1:12" x14ac:dyDescent="0.2">
      <c r="A77" s="75"/>
      <c r="B77" s="75"/>
      <c r="C77" s="75"/>
      <c r="D77" s="2"/>
      <c r="E77" s="121"/>
      <c r="F77" s="29"/>
      <c r="G77" s="29"/>
      <c r="H77" s="29"/>
      <c r="I77" s="29"/>
    </row>
    <row r="78" spans="1:12" x14ac:dyDescent="0.2">
      <c r="A78" s="75">
        <f>A59</f>
        <v>1</v>
      </c>
      <c r="B78" s="75">
        <f>4+4</f>
        <v>8</v>
      </c>
      <c r="C78" s="75">
        <v>8</v>
      </c>
      <c r="D78" s="2">
        <f t="shared" si="6"/>
        <v>2</v>
      </c>
      <c r="E78" s="121">
        <f t="shared" si="5"/>
        <v>1</v>
      </c>
      <c r="F78" s="29">
        <f>E59*E78</f>
        <v>1009.6649173557694</v>
      </c>
      <c r="G78" s="29">
        <f t="shared" si="7"/>
        <v>126.20811466947117</v>
      </c>
      <c r="H78" s="29">
        <f>G59</f>
        <v>360.5972727272727</v>
      </c>
      <c r="I78" s="29">
        <f t="shared" si="8"/>
        <v>45.074659090909087</v>
      </c>
    </row>
    <row r="79" spans="1:12" x14ac:dyDescent="0.2">
      <c r="A79" s="75">
        <f>A60</f>
        <v>2</v>
      </c>
      <c r="B79" s="119">
        <f>8+4</f>
        <v>12</v>
      </c>
      <c r="C79" s="75">
        <v>8</v>
      </c>
      <c r="D79" s="2">
        <f t="shared" si="6"/>
        <v>3</v>
      </c>
      <c r="E79" s="121">
        <v>1</v>
      </c>
      <c r="F79" s="29">
        <f>E60*E79</f>
        <v>2724.0922638461539</v>
      </c>
      <c r="G79" s="29">
        <f t="shared" ref="G79" si="9">F79/B79</f>
        <v>227.00768865384615</v>
      </c>
      <c r="H79" s="29">
        <f>G60</f>
        <v>1282.1236363636363</v>
      </c>
      <c r="I79" s="29">
        <f t="shared" ref="I79" si="10">H79/B79</f>
        <v>106.84363636363635</v>
      </c>
      <c r="J79" s="118"/>
      <c r="L79" s="118"/>
    </row>
    <row r="80" spans="1:12" x14ac:dyDescent="0.2">
      <c r="A80" s="176">
        <f>A61</f>
        <v>3</v>
      </c>
      <c r="B80" s="176">
        <v>12</v>
      </c>
      <c r="C80" s="176">
        <v>8</v>
      </c>
      <c r="D80" s="2">
        <f t="shared" ref="D80" si="11">2*B80/C80</f>
        <v>3</v>
      </c>
      <c r="E80" s="176">
        <v>2</v>
      </c>
      <c r="F80" s="29">
        <f>E61*E80</f>
        <v>4043.0232331730772</v>
      </c>
      <c r="G80" s="29">
        <f t="shared" ref="G80" si="12">F80/B80</f>
        <v>336.9186027644231</v>
      </c>
      <c r="H80" s="29">
        <f>G61</f>
        <v>1602.6545454545453</v>
      </c>
      <c r="I80" s="29">
        <f t="shared" ref="I80" si="13">H80/B80</f>
        <v>133.55454545454543</v>
      </c>
      <c r="J80" s="118"/>
      <c r="L80" s="118"/>
    </row>
    <row r="81" spans="1:17" x14ac:dyDescent="0.2">
      <c r="A81" s="30"/>
    </row>
    <row r="82" spans="1:17" s="135" customFormat="1" x14ac:dyDescent="0.2">
      <c r="A82" s="30"/>
    </row>
    <row r="83" spans="1:17" s="135" customFormat="1" x14ac:dyDescent="0.2">
      <c r="A83" s="30"/>
    </row>
    <row r="84" spans="1:17" s="135" customFormat="1" x14ac:dyDescent="0.2">
      <c r="A84" s="30"/>
      <c r="D84" s="255" t="s">
        <v>134</v>
      </c>
      <c r="E84" s="255"/>
      <c r="F84" s="255"/>
      <c r="G84" s="255"/>
      <c r="H84" s="255"/>
      <c r="I84" s="255"/>
    </row>
    <row r="85" spans="1:17" s="135" customFormat="1" ht="18.75" x14ac:dyDescent="0.35">
      <c r="A85" s="30"/>
      <c r="D85" s="133" t="s">
        <v>69</v>
      </c>
      <c r="E85" s="130" t="s">
        <v>84</v>
      </c>
      <c r="F85" s="130" t="s">
        <v>132</v>
      </c>
      <c r="G85" s="130" t="s">
        <v>133</v>
      </c>
      <c r="H85" s="128" t="s">
        <v>168</v>
      </c>
      <c r="I85" s="129" t="s">
        <v>135</v>
      </c>
    </row>
    <row r="86" spans="1:17" s="135" customFormat="1" x14ac:dyDescent="0.2">
      <c r="A86" s="30"/>
      <c r="D86" s="29">
        <f>SUM(E55:E56)</f>
        <v>5683.5750784615375</v>
      </c>
      <c r="E86" s="130">
        <v>32</v>
      </c>
      <c r="F86" s="130">
        <v>31.75</v>
      </c>
      <c r="G86" s="29">
        <f>(D86*E86)/(F86*8)</f>
        <v>716.04095476680789</v>
      </c>
      <c r="H86" s="128" t="s">
        <v>193</v>
      </c>
      <c r="I86" s="129">
        <f>8*118</f>
        <v>944</v>
      </c>
    </row>
    <row r="89" spans="1:17" x14ac:dyDescent="0.2">
      <c r="A89" s="251" t="s">
        <v>93</v>
      </c>
      <c r="B89" s="251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4"/>
      <c r="Q89" s="83"/>
    </row>
    <row r="90" spans="1:17" ht="14.25" x14ac:dyDescent="0.25">
      <c r="A90" s="85" t="s">
        <v>94</v>
      </c>
      <c r="B90" s="86" t="s">
        <v>178</v>
      </c>
      <c r="C90" s="87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4"/>
      <c r="Q90" s="83"/>
    </row>
    <row r="91" spans="1:17" x14ac:dyDescent="0.2">
      <c r="A91" s="81"/>
      <c r="B91" s="88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4"/>
      <c r="Q91" s="83"/>
    </row>
    <row r="92" spans="1:17" ht="15.75" x14ac:dyDescent="0.3">
      <c r="A92" s="89" t="s">
        <v>95</v>
      </c>
      <c r="B92" s="90">
        <f>C9</f>
        <v>8</v>
      </c>
      <c r="C92" s="83"/>
      <c r="D92" s="83"/>
      <c r="E92" s="91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4"/>
      <c r="Q92" s="83"/>
    </row>
    <row r="93" spans="1:17" ht="15.75" x14ac:dyDescent="0.3">
      <c r="A93" s="89" t="s">
        <v>96</v>
      </c>
      <c r="B93" s="92">
        <v>4</v>
      </c>
      <c r="C93" s="93" t="s">
        <v>97</v>
      </c>
      <c r="D93" s="83"/>
      <c r="E93" s="94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4"/>
      <c r="Q93" s="83"/>
    </row>
    <row r="94" spans="1:17" ht="15.75" x14ac:dyDescent="0.3">
      <c r="A94" s="89" t="s">
        <v>98</v>
      </c>
      <c r="B94" s="95">
        <f>0.02*B92*12</f>
        <v>1.92</v>
      </c>
      <c r="C94" s="83"/>
      <c r="D94" s="83"/>
      <c r="E94" s="81" t="s">
        <v>99</v>
      </c>
      <c r="F94" s="88" t="s">
        <v>179</v>
      </c>
      <c r="G94" s="83"/>
      <c r="H94" s="83"/>
      <c r="I94" s="83"/>
      <c r="J94" s="83"/>
      <c r="K94" s="83"/>
      <c r="L94" s="83"/>
      <c r="M94" s="83"/>
      <c r="N94" s="83"/>
      <c r="O94" s="83"/>
      <c r="P94" s="84"/>
      <c r="Q94" s="81"/>
    </row>
    <row r="95" spans="1:17" ht="15.75" x14ac:dyDescent="0.3">
      <c r="A95" s="31"/>
      <c r="B95" s="7"/>
      <c r="C95" s="83"/>
      <c r="D95" s="83"/>
      <c r="E95" s="81" t="s">
        <v>100</v>
      </c>
      <c r="F95" s="88" t="s">
        <v>180</v>
      </c>
      <c r="G95" s="83"/>
      <c r="H95" s="83"/>
      <c r="I95" s="83"/>
      <c r="J95" s="83"/>
      <c r="K95" s="83"/>
      <c r="L95" s="83"/>
      <c r="M95" s="83"/>
      <c r="N95" s="83"/>
      <c r="O95" s="83"/>
      <c r="P95" s="84"/>
      <c r="Q95" s="81"/>
    </row>
    <row r="96" spans="1:17" ht="15.75" x14ac:dyDescent="0.3">
      <c r="A96" s="89" t="s">
        <v>101</v>
      </c>
      <c r="B96" s="96">
        <v>0.11899999999999999</v>
      </c>
      <c r="C96" s="88" t="s">
        <v>102</v>
      </c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4"/>
      <c r="Q96" s="83"/>
    </row>
    <row r="97" spans="1:19" x14ac:dyDescent="0.2">
      <c r="A97" s="89" t="s">
        <v>103</v>
      </c>
      <c r="B97" s="97">
        <v>1600000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4"/>
      <c r="Q97" s="83"/>
    </row>
    <row r="98" spans="1:19" ht="15" x14ac:dyDescent="0.25">
      <c r="A98" s="98" t="s">
        <v>104</v>
      </c>
      <c r="B98" s="99">
        <v>8.25</v>
      </c>
      <c r="C98" s="100" t="s">
        <v>105</v>
      </c>
      <c r="D98" s="101"/>
      <c r="E98" s="88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250" t="s">
        <v>136</v>
      </c>
      <c r="Q98" s="250"/>
      <c r="R98" s="250"/>
      <c r="S98" s="250"/>
    </row>
    <row r="99" spans="1:19" x14ac:dyDescent="0.2">
      <c r="A99" s="102"/>
      <c r="B99" s="10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4"/>
      <c r="Q99" s="83"/>
    </row>
    <row r="100" spans="1:19" ht="49.5" x14ac:dyDescent="0.2">
      <c r="A100" s="104" t="s">
        <v>6</v>
      </c>
      <c r="B100" s="105" t="s">
        <v>106</v>
      </c>
      <c r="C100" s="80" t="s">
        <v>107</v>
      </c>
      <c r="D100" s="106" t="s">
        <v>108</v>
      </c>
      <c r="E100" s="106" t="s">
        <v>109</v>
      </c>
      <c r="F100" s="106" t="s">
        <v>110</v>
      </c>
      <c r="G100" s="106" t="s">
        <v>111</v>
      </c>
      <c r="H100" s="104" t="s">
        <v>116</v>
      </c>
      <c r="I100" s="106" t="s">
        <v>117</v>
      </c>
      <c r="J100" s="106" t="s">
        <v>118</v>
      </c>
      <c r="K100" s="108" t="s">
        <v>119</v>
      </c>
      <c r="L100" s="108" t="s">
        <v>120</v>
      </c>
      <c r="P100" s="107" t="s">
        <v>112</v>
      </c>
      <c r="Q100" s="107" t="s">
        <v>113</v>
      </c>
      <c r="R100" s="107" t="s">
        <v>114</v>
      </c>
      <c r="S100" s="107" t="s">
        <v>115</v>
      </c>
    </row>
    <row r="101" spans="1:19" ht="15" x14ac:dyDescent="0.25">
      <c r="A101" s="52" t="str">
        <f>A55</f>
        <v>A</v>
      </c>
      <c r="B101" s="29">
        <f>(MAX(G73,I73))</f>
        <v>230.23367831360943</v>
      </c>
      <c r="C101" s="109">
        <v>1</v>
      </c>
      <c r="D101" s="110">
        <f>LOOKUP(C101,{1,2,3,4,5},{8,8,10,10,10})</f>
        <v>8</v>
      </c>
      <c r="E101" s="110">
        <f>LOOKUP(C101,{1,2,3,4,5},{6,4,6,4,3})</f>
        <v>6</v>
      </c>
      <c r="F101" s="110" t="s">
        <v>121</v>
      </c>
      <c r="G101" s="111">
        <v>49500</v>
      </c>
      <c r="H101" s="10">
        <f>SUM(P101,Q101,R101,S101)</f>
        <v>0.15392969431046322</v>
      </c>
      <c r="I101" s="113">
        <f>$B$93*H101/0.7</f>
        <v>0.87959825320264706</v>
      </c>
      <c r="J101" s="80" t="str">
        <f>IF(I101&lt;=$B$94, "OK", "NO GOOD")</f>
        <v>OK</v>
      </c>
      <c r="K101" s="114">
        <f>B101/(12/E101)</f>
        <v>115.11683915680472</v>
      </c>
      <c r="L101" s="115">
        <f>IF(D101=8,(K101/616)^(3.018),IF(D101=10,(K101/769)^(3.276), "Need dif. Formula"))*IF(F101="N", 1.2,1)</f>
        <v>6.3323145416396397E-3</v>
      </c>
      <c r="P101" s="112">
        <f>(8*B101*(C73^3))/($B$97*$B$98*B73)</f>
        <v>5.4955544660404672E-3</v>
      </c>
      <c r="Q101" s="112">
        <f>(B101*C73)/G101</f>
        <v>3.7209483363815667E-2</v>
      </c>
      <c r="R101" s="112">
        <f>0.75*L101*C73</f>
        <v>3.7993887249837835E-2</v>
      </c>
      <c r="S101" s="112">
        <f>(C73/B73)*$B$96</f>
        <v>7.3230769230769238E-2</v>
      </c>
    </row>
    <row r="102" spans="1:19" ht="15" x14ac:dyDescent="0.25">
      <c r="A102" s="52" t="str">
        <f>A56</f>
        <v>B</v>
      </c>
      <c r="B102" s="29">
        <f>(MAX(G74,I74))</f>
        <v>185.55429381962861</v>
      </c>
      <c r="C102" s="109">
        <v>1</v>
      </c>
      <c r="D102" s="110">
        <f>LOOKUP(C102,{1,2,3,4,5},{8,8,10,10,10})</f>
        <v>8</v>
      </c>
      <c r="E102" s="110">
        <f>LOOKUP(C102,{1,2,3,4,5},{6,4,6,4,3})</f>
        <v>6</v>
      </c>
      <c r="F102" s="110" t="s">
        <v>121</v>
      </c>
      <c r="G102" s="111">
        <v>49501</v>
      </c>
      <c r="H102" s="10">
        <f>SUM(P102,Q102,R102,S102)</f>
        <v>0.11942628263893396</v>
      </c>
      <c r="I102" s="113">
        <f>$B$93*H102/0.7</f>
        <v>0.68243590079390837</v>
      </c>
      <c r="J102" s="80" t="str">
        <f>IF(I102&lt;=$B$94, "OK", "NO GOOD")</f>
        <v>OK</v>
      </c>
      <c r="K102" s="114">
        <f>B102/(12/E102)</f>
        <v>92.777146909814306</v>
      </c>
      <c r="L102" s="115">
        <f>IF(D102=8,(K102/616)^(3.018),IF(D102=10,(K102/769)^(3.276), "Need dif. Formula"))*IF(F102="N", 1.2,1)</f>
        <v>3.3020404396769528E-3</v>
      </c>
      <c r="P102" s="112">
        <f>(8*B102*(C74^3))/($B$97*$B$98*B74)</f>
        <v>3.9709006660668695E-3</v>
      </c>
      <c r="Q102" s="112">
        <f>(B102*C74)/G102</f>
        <v>2.9987966921012282E-2</v>
      </c>
      <c r="R102" s="112">
        <f>0.75*L102*C74</f>
        <v>1.9812242638061715E-2</v>
      </c>
      <c r="S102" s="112">
        <f>(C74/B74)*$B$96</f>
        <v>6.5655172413793095E-2</v>
      </c>
    </row>
    <row r="103" spans="1:19" ht="15" x14ac:dyDescent="0.25">
      <c r="A103" s="52"/>
      <c r="B103" s="29"/>
      <c r="C103" s="109"/>
      <c r="D103" s="110"/>
      <c r="E103" s="110"/>
      <c r="F103" s="110"/>
      <c r="G103" s="111"/>
      <c r="H103" s="10"/>
      <c r="I103" s="113"/>
      <c r="J103" s="80"/>
      <c r="K103" s="114"/>
      <c r="L103" s="115"/>
      <c r="P103" s="112"/>
      <c r="Q103" s="112"/>
      <c r="R103" s="112"/>
      <c r="S103" s="112"/>
    </row>
    <row r="104" spans="1:19" ht="15" x14ac:dyDescent="0.25">
      <c r="A104" s="52"/>
      <c r="B104" s="116"/>
      <c r="C104" s="109"/>
      <c r="D104" s="110"/>
      <c r="E104" s="110"/>
      <c r="F104" s="117"/>
      <c r="G104" s="111"/>
      <c r="H104" s="10"/>
      <c r="I104" s="113"/>
      <c r="J104" s="80"/>
      <c r="K104" s="114"/>
      <c r="L104" s="115"/>
      <c r="P104" s="112"/>
      <c r="Q104" s="112"/>
      <c r="R104" s="112"/>
      <c r="S104" s="112"/>
    </row>
    <row r="105" spans="1:19" ht="15" x14ac:dyDescent="0.25">
      <c r="A105" s="52">
        <f>A59</f>
        <v>1</v>
      </c>
      <c r="B105" s="29">
        <f>MAX(G78,I78)</f>
        <v>126.20811466947117</v>
      </c>
      <c r="C105" s="109">
        <v>1</v>
      </c>
      <c r="D105" s="110">
        <f>LOOKUP(C105,{1,2,3,4,5},{8,8,10,10,10})</f>
        <v>8</v>
      </c>
      <c r="E105" s="110">
        <f>LOOKUP(C105,{1,2,3,4,5},{6,4,6,4,3})</f>
        <v>6</v>
      </c>
      <c r="F105" s="110" t="s">
        <v>121</v>
      </c>
      <c r="G105" s="111">
        <v>49500</v>
      </c>
      <c r="H105" s="10">
        <f>SUM(P105,Q105,R105,S105)</f>
        <v>0.15048374068567985</v>
      </c>
      <c r="I105" s="113">
        <f>$B$93*H105/0.7</f>
        <v>0.85990708963245632</v>
      </c>
      <c r="J105" s="80" t="str">
        <f>IF(I105&lt;=$B$94, "OK", "NO GOOD")</f>
        <v>OK</v>
      </c>
      <c r="K105" s="114">
        <f>B105/(12/E105)</f>
        <v>63.104057334735586</v>
      </c>
      <c r="L105" s="115">
        <f>IF(D105=8,(K105/616)^(3.018),IF(D105=10,(K105/769)^(3.276), "Need dif. Formula"))*IF(F105="N", 1.2,1)</f>
        <v>1.031854095690232E-3</v>
      </c>
      <c r="P105" s="112">
        <f>(8*B105*(C78^3))/($B$97*$B$98*B78)</f>
        <v>4.8953450538461547E-3</v>
      </c>
      <c r="Q105" s="112">
        <f>(B105*C78)/G105</f>
        <v>2.0397271057692311E-2</v>
      </c>
      <c r="R105" s="112">
        <f>0.75*L105*C78</f>
        <v>6.1911245741413917E-3</v>
      </c>
      <c r="S105" s="112">
        <f>(C78/B78)*$B$96</f>
        <v>0.11899999999999999</v>
      </c>
    </row>
    <row r="106" spans="1:19" ht="15" x14ac:dyDescent="0.25">
      <c r="A106" s="52">
        <f>A60</f>
        <v>2</v>
      </c>
      <c r="B106" s="29">
        <f>MAX(G79,I79)</f>
        <v>227.00768865384615</v>
      </c>
      <c r="C106" s="109">
        <v>1</v>
      </c>
      <c r="D106" s="110">
        <f>LOOKUP(C106,{1,2,3,4,5},{8,8,10,10,10})</f>
        <v>8</v>
      </c>
      <c r="E106" s="110">
        <f>LOOKUP(C106,{1,2,3,4,5},{6,4,6,4,3})</f>
        <v>6</v>
      </c>
      <c r="F106" s="110" t="s">
        <v>121</v>
      </c>
      <c r="G106" s="111">
        <v>49501</v>
      </c>
      <c r="H106" s="10">
        <f>SUM(P106,Q106,R106,S106)</f>
        <v>0.15830062403663975</v>
      </c>
      <c r="I106" s="113">
        <f t="shared" ref="I106" si="14">$B$93*H106/0.7</f>
        <v>0.90457499449508438</v>
      </c>
      <c r="J106" s="120" t="str">
        <f t="shared" ref="J106" si="15">IF(I106&lt;=$B$94, "OK", "NO GOOD")</f>
        <v>OK</v>
      </c>
      <c r="K106" s="114">
        <f>B106/(12/E106)</f>
        <v>113.50384432692307</v>
      </c>
      <c r="L106" s="115">
        <f>IF(D106=8,(K106/616)^(3.018),IF(D106=10,(K106/769)^(3.276), "Need dif. Formula"))*IF(F106="N", 1.2,1)</f>
        <v>6.0683037928488679E-3</v>
      </c>
      <c r="P106" s="112">
        <f>(8*B106*(C79^3))/($B$97*$B$98*B79)</f>
        <v>5.8700978076146075E-3</v>
      </c>
      <c r="Q106" s="112">
        <f>(B106*C79)/G106</f>
        <v>3.6687370138598595E-2</v>
      </c>
      <c r="R106" s="112">
        <f>0.75*L106*C79</f>
        <v>3.6409822757093209E-2</v>
      </c>
      <c r="S106" s="112">
        <f>(C79/B79)*$B$96</f>
        <v>7.9333333333333325E-2</v>
      </c>
    </row>
    <row r="107" spans="1:19" ht="15" x14ac:dyDescent="0.25">
      <c r="A107" s="179">
        <f>A61</f>
        <v>3</v>
      </c>
      <c r="B107" s="29">
        <f>MAX(G80,I80)</f>
        <v>336.9186027644231</v>
      </c>
      <c r="C107" s="109">
        <v>2</v>
      </c>
      <c r="D107" s="110">
        <f>LOOKUP(C107,{1,2,3,4,5},{8,8,10,10,10})</f>
        <v>8</v>
      </c>
      <c r="E107" s="110">
        <f>LOOKUP(C107,{1,2,3,4,5},{6,4,6,4,3})</f>
        <v>4</v>
      </c>
      <c r="F107" s="110" t="s">
        <v>121</v>
      </c>
      <c r="G107" s="111">
        <v>49502</v>
      </c>
      <c r="H107" s="10">
        <f>SUM(P107,Q107,R107,S107)</f>
        <v>0.17775752880074722</v>
      </c>
      <c r="I107" s="113">
        <f t="shared" ref="I107" si="16">$B$93*H107/0.7</f>
        <v>1.0157573074328412</v>
      </c>
      <c r="J107" s="181" t="str">
        <f t="shared" ref="J107" si="17">IF(I107&lt;=$B$94, "OK", "NO GOOD")</f>
        <v>OK</v>
      </c>
      <c r="K107" s="114">
        <f>B107/(12/E107)</f>
        <v>112.30620092147437</v>
      </c>
      <c r="L107" s="115">
        <f>IF(D107=8,(K107/616)^(3.018),IF(D107=10,(K107/769)^(3.276), "Need dif. Formula"))*IF(F107="N", 1.2,1)</f>
        <v>5.8771109109963292E-3</v>
      </c>
      <c r="M107" s="180"/>
      <c r="N107" s="180"/>
      <c r="O107" s="180"/>
      <c r="P107" s="112">
        <f>(8*B107*(C80^3))/($B$97*$B$98*B80)</f>
        <v>8.7122386169386171E-3</v>
      </c>
      <c r="Q107" s="112">
        <f>(B107*C80)/G107</f>
        <v>5.4449291384497292E-2</v>
      </c>
      <c r="R107" s="112">
        <f>0.75*L107*C80</f>
        <v>3.5262665465977977E-2</v>
      </c>
      <c r="S107" s="112">
        <f>(C80/B80)*$B$96</f>
        <v>7.9333333333333325E-2</v>
      </c>
    </row>
    <row r="108" spans="1:19" x14ac:dyDescent="0.2">
      <c r="A108" s="137"/>
      <c r="G108" s="83"/>
      <c r="H108" s="83"/>
      <c r="I108" s="83"/>
      <c r="J108" s="83"/>
      <c r="K108" s="83"/>
      <c r="L108" s="83"/>
      <c r="M108" s="83"/>
      <c r="N108" s="83"/>
      <c r="O108" s="83"/>
      <c r="P108" s="84"/>
      <c r="Q108" s="83"/>
    </row>
    <row r="109" spans="1:19" x14ac:dyDescent="0.2">
      <c r="A109" s="83"/>
      <c r="G109" s="83"/>
      <c r="H109" s="83"/>
      <c r="I109" s="83"/>
      <c r="J109" s="83"/>
      <c r="K109" s="83"/>
      <c r="L109" s="83"/>
      <c r="M109" s="83"/>
      <c r="N109" s="83"/>
      <c r="O109" s="83"/>
      <c r="P109" s="84"/>
      <c r="Q109" s="83"/>
    </row>
    <row r="110" spans="1:19" x14ac:dyDescent="0.2">
      <c r="A110" s="83"/>
      <c r="B110" s="233" t="s">
        <v>122</v>
      </c>
      <c r="C110" s="234"/>
      <c r="D110" s="234"/>
      <c r="E110" s="234"/>
      <c r="F110" s="235"/>
      <c r="G110" s="83"/>
      <c r="H110" s="83"/>
      <c r="I110" s="83"/>
      <c r="J110" s="83"/>
      <c r="K110" s="83"/>
      <c r="L110" s="83"/>
      <c r="M110" s="83"/>
      <c r="N110" s="83"/>
      <c r="O110" s="83"/>
      <c r="P110" s="84"/>
      <c r="Q110" s="83"/>
    </row>
    <row r="111" spans="1:19" x14ac:dyDescent="0.2">
      <c r="A111" s="83"/>
      <c r="B111" s="236" t="s">
        <v>123</v>
      </c>
      <c r="C111" s="237"/>
      <c r="D111" s="237"/>
      <c r="E111" s="237"/>
      <c r="F111" s="238"/>
      <c r="G111" s="83"/>
      <c r="H111" s="83"/>
      <c r="I111" s="83"/>
      <c r="J111" s="83"/>
      <c r="K111" s="83"/>
      <c r="L111" s="83"/>
      <c r="M111" s="83"/>
      <c r="N111" s="83"/>
      <c r="O111" s="83"/>
      <c r="P111" s="84"/>
      <c r="Q111" s="83"/>
    </row>
    <row r="112" spans="1:19" s="143" customFormat="1" ht="20.25" customHeight="1" x14ac:dyDescent="0.2">
      <c r="B112" s="139"/>
      <c r="C112" s="144" t="s">
        <v>149</v>
      </c>
      <c r="D112" s="144" t="s">
        <v>150</v>
      </c>
      <c r="E112" s="144" t="s">
        <v>151</v>
      </c>
      <c r="F112" s="144" t="s">
        <v>152</v>
      </c>
      <c r="P112" s="149"/>
    </row>
    <row r="113" spans="1:17" x14ac:dyDescent="0.2">
      <c r="A113" s="83"/>
      <c r="B113" s="139">
        <v>1</v>
      </c>
      <c r="C113" s="139">
        <v>8</v>
      </c>
      <c r="D113" s="139">
        <v>6</v>
      </c>
      <c r="E113" s="139">
        <v>12</v>
      </c>
      <c r="F113" s="139">
        <v>280</v>
      </c>
      <c r="G113" s="83"/>
      <c r="H113" s="83"/>
      <c r="I113" s="83"/>
      <c r="J113" s="83"/>
      <c r="K113" s="83"/>
      <c r="L113" s="83"/>
      <c r="M113" s="83"/>
      <c r="N113" s="83"/>
      <c r="O113" s="83"/>
      <c r="P113" s="84"/>
      <c r="Q113" s="83"/>
    </row>
    <row r="114" spans="1:17" x14ac:dyDescent="0.2">
      <c r="A114" s="83"/>
      <c r="B114" s="139">
        <v>2</v>
      </c>
      <c r="C114" s="139">
        <v>8</v>
      </c>
      <c r="D114" s="139">
        <v>4</v>
      </c>
      <c r="E114" s="139">
        <v>12</v>
      </c>
      <c r="F114" s="139">
        <v>430</v>
      </c>
      <c r="G114" s="83"/>
      <c r="H114" s="83"/>
      <c r="I114" s="83"/>
      <c r="J114" s="83"/>
      <c r="K114" s="83"/>
      <c r="L114" s="83"/>
      <c r="M114" s="83"/>
      <c r="N114" s="83"/>
      <c r="O114" s="83"/>
      <c r="P114" s="84"/>
      <c r="Q114" s="83"/>
    </row>
    <row r="115" spans="1:17" x14ac:dyDescent="0.2">
      <c r="A115" s="83"/>
      <c r="B115" s="139">
        <v>3</v>
      </c>
      <c r="C115" s="139">
        <v>10</v>
      </c>
      <c r="D115" s="139">
        <v>6</v>
      </c>
      <c r="E115" s="139">
        <v>12</v>
      </c>
      <c r="F115" s="139">
        <v>340</v>
      </c>
      <c r="G115" s="83"/>
      <c r="H115" s="83"/>
      <c r="I115" s="83"/>
      <c r="J115" s="83"/>
      <c r="K115" s="83"/>
      <c r="L115" s="83"/>
      <c r="M115" s="83"/>
      <c r="N115" s="83"/>
      <c r="O115" s="83"/>
      <c r="P115" s="84"/>
      <c r="Q115" s="83"/>
    </row>
    <row r="116" spans="1:17" x14ac:dyDescent="0.2">
      <c r="B116" s="139">
        <v>4</v>
      </c>
      <c r="C116" s="139">
        <v>10</v>
      </c>
      <c r="D116" s="139">
        <v>4</v>
      </c>
      <c r="E116" s="139">
        <v>12</v>
      </c>
      <c r="F116" s="139">
        <v>510</v>
      </c>
    </row>
    <row r="117" spans="1:17" x14ac:dyDescent="0.2">
      <c r="B117" s="139">
        <v>5</v>
      </c>
      <c r="C117" s="139">
        <v>10</v>
      </c>
      <c r="D117" s="139">
        <v>3</v>
      </c>
      <c r="E117" s="139">
        <v>12</v>
      </c>
      <c r="F117" s="139">
        <v>665</v>
      </c>
    </row>
  </sheetData>
  <mergeCells count="33">
    <mergeCell ref="A14:B14"/>
    <mergeCell ref="A15:B15"/>
    <mergeCell ref="A5:B5"/>
    <mergeCell ref="A7:B7"/>
    <mergeCell ref="A9:B9"/>
    <mergeCell ref="A6:B6"/>
    <mergeCell ref="D13:E13"/>
    <mergeCell ref="A11:B11"/>
    <mergeCell ref="A8:B8"/>
    <mergeCell ref="A4:B4"/>
    <mergeCell ref="P98:S98"/>
    <mergeCell ref="A89:B89"/>
    <mergeCell ref="F29:G29"/>
    <mergeCell ref="A38:B38"/>
    <mergeCell ref="D5:E5"/>
    <mergeCell ref="D12:E12"/>
    <mergeCell ref="D84:I84"/>
    <mergeCell ref="A10:B10"/>
    <mergeCell ref="A53:A54"/>
    <mergeCell ref="B53:E53"/>
    <mergeCell ref="A12:B12"/>
    <mergeCell ref="A13:B13"/>
    <mergeCell ref="A18:B18"/>
    <mergeCell ref="A29:B29"/>
    <mergeCell ref="B110:F110"/>
    <mergeCell ref="B111:F111"/>
    <mergeCell ref="C46:D46"/>
    <mergeCell ref="F40:G40"/>
    <mergeCell ref="F43:G43"/>
    <mergeCell ref="F53:G53"/>
    <mergeCell ref="A51:C51"/>
    <mergeCell ref="A40:B40"/>
    <mergeCell ref="C71:D71"/>
  </mergeCells>
  <phoneticPr fontId="2" type="noConversion"/>
  <conditionalFormatting sqref="H73:I80">
    <cfRule type="cellIs" dxfId="70" priority="2" stopIfTrue="1" operator="greaterThan">
      <formula>F73</formula>
    </cfRule>
  </conditionalFormatting>
  <conditionalFormatting sqref="F73:G80">
    <cfRule type="cellIs" dxfId="69" priority="3" stopIfTrue="1" operator="greaterThan">
      <formula>H73</formula>
    </cfRule>
  </conditionalFormatting>
  <conditionalFormatting sqref="J101:J107">
    <cfRule type="containsText" dxfId="68" priority="1" stopIfTrue="1" operator="containsText" text="NO GOOD">
      <formula>NOT(ISERROR(SEARCH("NO GOOD",J101)))</formula>
    </cfRule>
  </conditionalFormatting>
  <printOptions horizontalCentered="1" verticalCentered="1"/>
  <pageMargins left="0.05" right="0.05" top="0.1" bottom="0.1" header="0.5" footer="0.05"/>
  <pageSetup orientation="portrait" r:id="rId1"/>
  <headerFooter alignWithMargins="0"/>
  <rowBreaks count="1" manualBreakCount="1">
    <brk id="48" max="9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0</xdr:col>
                <xdr:colOff>123825</xdr:colOff>
                <xdr:row>18</xdr:row>
                <xdr:rowOff>114300</xdr:rowOff>
              </from>
              <to>
                <xdr:col>1</xdr:col>
                <xdr:colOff>247650</xdr:colOff>
                <xdr:row>22</xdr:row>
                <xdr:rowOff>152400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34" r:id="rId6">
          <objectPr defaultSize="0" autoPict="0" r:id="rId7">
            <anchor moveWithCells="1">
              <from>
                <xdr:col>0</xdr:col>
                <xdr:colOff>28575</xdr:colOff>
                <xdr:row>23</xdr:row>
                <xdr:rowOff>57150</xdr:rowOff>
              </from>
              <to>
                <xdr:col>1</xdr:col>
                <xdr:colOff>295275</xdr:colOff>
                <xdr:row>27</xdr:row>
                <xdr:rowOff>95250</xdr:rowOff>
              </to>
            </anchor>
          </objectPr>
        </oleObject>
      </mc:Choice>
      <mc:Fallback>
        <oleObject progId="Equation.3" shapeId="1034" r:id="rId6"/>
      </mc:Fallback>
    </mc:AlternateContent>
    <mc:AlternateContent xmlns:mc="http://schemas.openxmlformats.org/markup-compatibility/2006">
      <mc:Choice Requires="x14">
        <oleObject progId="Equation.3" shapeId="1129" r:id="rId8">
          <objectPr defaultSize="0" autoPict="0" r:id="rId9">
            <anchor moveWithCells="1">
              <from>
                <xdr:col>1</xdr:col>
                <xdr:colOff>228600</xdr:colOff>
                <xdr:row>83</xdr:row>
                <xdr:rowOff>114300</xdr:rowOff>
              </from>
              <to>
                <xdr:col>2</xdr:col>
                <xdr:colOff>133350</xdr:colOff>
                <xdr:row>85</xdr:row>
                <xdr:rowOff>142875</xdr:rowOff>
              </to>
            </anchor>
          </objectPr>
        </oleObject>
      </mc:Choice>
      <mc:Fallback>
        <oleObject progId="Equation.3" shapeId="11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showGridLines="0" topLeftCell="A19" zoomScale="85" zoomScaleNormal="85" zoomScaleSheetLayoutView="90" workbookViewId="0">
      <selection activeCell="I38" sqref="I38"/>
    </sheetView>
  </sheetViews>
  <sheetFormatPr defaultRowHeight="18" customHeight="1" x14ac:dyDescent="0.2"/>
  <cols>
    <col min="1" max="1" width="13.5703125" style="143" customWidth="1"/>
    <col min="2" max="2" width="14.28515625" style="143" customWidth="1"/>
    <col min="3" max="3" width="12.28515625" style="143" customWidth="1"/>
    <col min="4" max="4" width="12.42578125" style="143" customWidth="1"/>
    <col min="5" max="5" width="8.7109375" style="143" customWidth="1"/>
    <col min="6" max="6" width="7.28515625" style="143" customWidth="1"/>
    <col min="7" max="7" width="10.28515625" style="143" customWidth="1"/>
    <col min="8" max="8" width="13.85546875" style="143" customWidth="1"/>
    <col min="9" max="10" width="9.140625" style="143"/>
    <col min="11" max="11" width="11" style="143" bestFit="1" customWidth="1"/>
    <col min="12" max="16384" width="9.140625" style="143"/>
  </cols>
  <sheetData>
    <row r="1" spans="1:8" ht="18" customHeight="1" x14ac:dyDescent="0.25">
      <c r="A1" s="126" t="s">
        <v>63</v>
      </c>
      <c r="C1" s="127" t="s">
        <v>83</v>
      </c>
    </row>
    <row r="2" spans="1:8" ht="18" customHeight="1" x14ac:dyDescent="0.2">
      <c r="B2" s="267" t="s">
        <v>56</v>
      </c>
      <c r="C2" s="267"/>
      <c r="F2" s="5" t="s">
        <v>61</v>
      </c>
    </row>
    <row r="3" spans="1:8" ht="18" customHeight="1" x14ac:dyDescent="0.3">
      <c r="A3" s="33" t="s">
        <v>51</v>
      </c>
      <c r="B3" s="74">
        <v>5</v>
      </c>
      <c r="C3" s="74">
        <v>4.5</v>
      </c>
      <c r="D3" s="196">
        <v>3.5</v>
      </c>
      <c r="E3" s="32" t="s">
        <v>54</v>
      </c>
      <c r="F3" s="66">
        <f>'wind-siesmic'!$B$47</f>
        <v>15.274999999999999</v>
      </c>
    </row>
    <row r="4" spans="1:8" ht="18" customHeight="1" x14ac:dyDescent="0.3">
      <c r="A4" s="32" t="s">
        <v>50</v>
      </c>
      <c r="B4" s="65">
        <v>8</v>
      </c>
      <c r="C4" s="65">
        <v>8</v>
      </c>
      <c r="D4" s="65">
        <v>8</v>
      </c>
      <c r="E4" s="32" t="s">
        <v>55</v>
      </c>
      <c r="F4" s="64">
        <f>'wind-siesmic'!$G$41</f>
        <v>15</v>
      </c>
    </row>
    <row r="5" spans="1:8" ht="18" customHeight="1" x14ac:dyDescent="0.3">
      <c r="A5" s="32" t="s">
        <v>74</v>
      </c>
      <c r="B5" s="63">
        <f>B3*(31.75/2)+2</f>
        <v>81.375</v>
      </c>
      <c r="C5" s="63">
        <f t="shared" ref="C5:D5" si="0">C3*(31.75/2)+2</f>
        <v>73.4375</v>
      </c>
      <c r="D5" s="63">
        <f t="shared" si="0"/>
        <v>57.5625</v>
      </c>
      <c r="E5" s="142" t="s">
        <v>62</v>
      </c>
      <c r="F5" s="66">
        <f>SUM(B3:D3)</f>
        <v>13</v>
      </c>
    </row>
    <row r="6" spans="1:8" ht="18" customHeight="1" x14ac:dyDescent="0.3">
      <c r="A6" s="32" t="s">
        <v>52</v>
      </c>
      <c r="B6" s="29">
        <f>B5*F3</f>
        <v>1243.003125</v>
      </c>
      <c r="C6" s="29">
        <f>C5*F3</f>
        <v>1121.7578125</v>
      </c>
      <c r="D6" s="29">
        <f>D5*F3</f>
        <v>879.26718749999986</v>
      </c>
      <c r="E6" s="32" t="s">
        <v>48</v>
      </c>
      <c r="F6" s="223">
        <f>'wind-siesmic'!$F$73</f>
        <v>2993.0378180769226</v>
      </c>
      <c r="G6" s="222">
        <f>F6/F5</f>
        <v>230.23367831360943</v>
      </c>
      <c r="H6" s="30" t="s">
        <v>166</v>
      </c>
    </row>
    <row r="7" spans="1:8" ht="18" customHeight="1" x14ac:dyDescent="0.3">
      <c r="A7" s="32" t="s">
        <v>53</v>
      </c>
      <c r="B7" s="29">
        <f>B3*B4*F4</f>
        <v>600</v>
      </c>
      <c r="C7" s="29">
        <f>C3*C4*F4</f>
        <v>540</v>
      </c>
      <c r="D7" s="29">
        <f>D3*D4*F4</f>
        <v>420</v>
      </c>
      <c r="E7" s="32" t="s">
        <v>49</v>
      </c>
      <c r="F7" s="223">
        <f>'wind-siesmic'!$H$73</f>
        <v>1174.5720000000001</v>
      </c>
      <c r="G7" s="222">
        <f>F7/F5</f>
        <v>90.351692307692318</v>
      </c>
    </row>
    <row r="8" spans="1:8" ht="18" customHeight="1" x14ac:dyDescent="0.3">
      <c r="A8" s="32" t="s">
        <v>57</v>
      </c>
      <c r="B8" s="60">
        <f>SUM(B6:B7)</f>
        <v>1843.003125</v>
      </c>
      <c r="C8" s="60">
        <f>SUM(C6:C7)</f>
        <v>1661.7578125</v>
      </c>
      <c r="D8" s="60">
        <f>SUM(D6:D7)</f>
        <v>1299.2671874999999</v>
      </c>
      <c r="E8" s="8" t="s">
        <v>2</v>
      </c>
      <c r="F8" s="11">
        <f>'wind-siesmic'!$B$30</f>
        <v>2.0190000000000001</v>
      </c>
    </row>
    <row r="9" spans="1:8" ht="18" customHeight="1" x14ac:dyDescent="0.2">
      <c r="A9" s="32"/>
      <c r="B9" s="145"/>
      <c r="C9" s="7"/>
      <c r="D9" s="7"/>
      <c r="E9" s="7"/>
      <c r="F9" s="7"/>
    </row>
    <row r="10" spans="1:8" ht="18" customHeight="1" x14ac:dyDescent="0.25">
      <c r="A10" s="140" t="s">
        <v>44</v>
      </c>
      <c r="B10" s="34">
        <f>B3</f>
        <v>5</v>
      </c>
      <c r="C10" s="34">
        <f>C3</f>
        <v>4.5</v>
      </c>
      <c r="D10" s="200">
        <f>D3</f>
        <v>3.5</v>
      </c>
    </row>
    <row r="11" spans="1:8" ht="18" customHeight="1" x14ac:dyDescent="0.3">
      <c r="A11" s="32" t="s">
        <v>45</v>
      </c>
      <c r="B11" s="29">
        <f>G6*B4*B10</f>
        <v>9209.347132544377</v>
      </c>
      <c r="C11" s="29">
        <f>G6*C4*C10</f>
        <v>8288.4124192899399</v>
      </c>
      <c r="D11" s="29">
        <f>G6*D4*D10</f>
        <v>6446.5429927810637</v>
      </c>
      <c r="E11" s="32" t="s">
        <v>45</v>
      </c>
      <c r="F11" s="146" t="s">
        <v>58</v>
      </c>
      <c r="H11" s="7"/>
    </row>
    <row r="12" spans="1:8" ht="18" customHeight="1" x14ac:dyDescent="0.3">
      <c r="A12" s="31" t="s">
        <v>46</v>
      </c>
      <c r="B12" s="29">
        <f>(0.6*B8-0.7*(0.2*F8*B8))*(B3/2)</f>
        <v>1462.1465292187497</v>
      </c>
      <c r="C12" s="29">
        <f>(0.6*C8-0.7*(0.2*F8*C8))*(C3/2)</f>
        <v>1186.5200044921876</v>
      </c>
      <c r="D12" s="29">
        <f>(0.6*D8-0.7*(0.2*F8*D8))*(D3/2)</f>
        <v>721.54153624218736</v>
      </c>
      <c r="E12" s="31" t="s">
        <v>46</v>
      </c>
      <c r="F12" s="268" t="s">
        <v>71</v>
      </c>
      <c r="G12" s="268"/>
      <c r="H12" s="268"/>
    </row>
    <row r="13" spans="1:8" ht="18" customHeight="1" x14ac:dyDescent="0.2">
      <c r="A13" s="32" t="s">
        <v>64</v>
      </c>
      <c r="B13" s="72">
        <f>B11-B12</f>
        <v>7747.2006033256275</v>
      </c>
      <c r="C13" s="72">
        <f>C11-C12</f>
        <v>7101.8924147977523</v>
      </c>
      <c r="D13" s="72">
        <f>D11-D12</f>
        <v>5725.0014565388765</v>
      </c>
      <c r="E13" s="142" t="str">
        <f>IF(C13&gt;C18,"governs","--")</f>
        <v>governs</v>
      </c>
    </row>
    <row r="15" spans="1:8" ht="18" customHeight="1" x14ac:dyDescent="0.25">
      <c r="A15" s="140" t="s">
        <v>47</v>
      </c>
      <c r="B15" s="34">
        <f>B3</f>
        <v>5</v>
      </c>
      <c r="C15" s="34">
        <f>C3</f>
        <v>4.5</v>
      </c>
      <c r="D15" s="200">
        <f>D3</f>
        <v>3.5</v>
      </c>
    </row>
    <row r="16" spans="1:8" ht="18" customHeight="1" x14ac:dyDescent="0.3">
      <c r="A16" s="32" t="s">
        <v>45</v>
      </c>
      <c r="B16" s="29">
        <f>G7*B4*B15</f>
        <v>3614.0676923076926</v>
      </c>
      <c r="C16" s="29">
        <f>C15*G7*C4</f>
        <v>3252.6609230769236</v>
      </c>
      <c r="D16" s="29">
        <f>D15*G7*D4</f>
        <v>2529.8473846153847</v>
      </c>
      <c r="E16" s="32" t="s">
        <v>45</v>
      </c>
      <c r="F16" s="147" t="s">
        <v>59</v>
      </c>
    </row>
    <row r="17" spans="1:11" ht="18" customHeight="1" x14ac:dyDescent="0.3">
      <c r="A17" s="32" t="s">
        <v>46</v>
      </c>
      <c r="B17" s="29">
        <f>0.6*B8*(B3/2)</f>
        <v>2764.5046874999998</v>
      </c>
      <c r="C17" s="29">
        <f>0.6*C8*(C3/2)</f>
        <v>2243.373046875</v>
      </c>
      <c r="D17" s="29">
        <f>0.6*D8*(D3/2)</f>
        <v>1364.2305468749998</v>
      </c>
      <c r="E17" s="32" t="s">
        <v>46</v>
      </c>
      <c r="F17" s="30" t="s">
        <v>60</v>
      </c>
      <c r="H17" s="5"/>
      <c r="I17" s="5"/>
      <c r="J17" s="5"/>
      <c r="K17" s="5"/>
    </row>
    <row r="18" spans="1:11" ht="18" customHeight="1" x14ac:dyDescent="0.2">
      <c r="A18" s="32" t="s">
        <v>64</v>
      </c>
      <c r="B18" s="72">
        <f>B16-B17</f>
        <v>849.56300480769278</v>
      </c>
      <c r="C18" s="72">
        <f>C16-C17</f>
        <v>1009.2878762019236</v>
      </c>
      <c r="D18" s="72">
        <f>D16-D17</f>
        <v>1165.6168377403849</v>
      </c>
      <c r="E18" s="145" t="str">
        <f>IF(C18&gt;C13,"governs","--")</f>
        <v>--</v>
      </c>
      <c r="H18" s="269" t="s">
        <v>157</v>
      </c>
      <c r="I18" s="270"/>
      <c r="J18" s="270"/>
      <c r="K18" s="271"/>
    </row>
    <row r="19" spans="1:11" ht="18" customHeight="1" x14ac:dyDescent="0.25">
      <c r="A19" s="140"/>
      <c r="H19" s="104" t="s">
        <v>163</v>
      </c>
      <c r="I19" s="104" t="s">
        <v>161</v>
      </c>
      <c r="J19" s="272" t="s">
        <v>160</v>
      </c>
      <c r="K19" s="273"/>
    </row>
    <row r="20" spans="1:11" ht="18" customHeight="1" x14ac:dyDescent="0.25">
      <c r="A20" s="140" t="s">
        <v>72</v>
      </c>
      <c r="B20" s="42"/>
      <c r="C20" s="42"/>
      <c r="D20" s="42"/>
      <c r="E20" s="145"/>
      <c r="F20" s="42"/>
      <c r="H20" s="144" t="s">
        <v>162</v>
      </c>
      <c r="I20" s="144" t="s">
        <v>164</v>
      </c>
      <c r="J20" s="144" t="s">
        <v>158</v>
      </c>
      <c r="K20" s="71" t="s">
        <v>159</v>
      </c>
    </row>
    <row r="21" spans="1:11" ht="18" customHeight="1" x14ac:dyDescent="0.2">
      <c r="A21" s="32" t="s">
        <v>64</v>
      </c>
      <c r="B21" s="61">
        <f>IF(B18&gt;B13,B18,B13)</f>
        <v>7747.2006033256275</v>
      </c>
      <c r="C21" s="61">
        <f>IF(C18&gt;C13,C18,C13)</f>
        <v>7101.8924147977523</v>
      </c>
      <c r="D21" s="61">
        <f>IF(D18&gt;D13,D18,D13)</f>
        <v>5725.0014565388765</v>
      </c>
      <c r="E21" s="165" t="s">
        <v>153</v>
      </c>
      <c r="H21" s="171">
        <v>1500</v>
      </c>
      <c r="I21" s="172">
        <f>H21*0.75</f>
        <v>1125</v>
      </c>
      <c r="J21" s="173" t="s">
        <v>80</v>
      </c>
      <c r="K21" s="174" t="s">
        <v>81</v>
      </c>
    </row>
    <row r="22" spans="1:11" ht="18" customHeight="1" x14ac:dyDescent="0.3">
      <c r="A22" s="33" t="s">
        <v>51</v>
      </c>
      <c r="B22" s="2">
        <f>B3-0.833</f>
        <v>4.1669999999999998</v>
      </c>
      <c r="C22" s="2">
        <f t="shared" ref="C22:D22" si="1">C3-0.833</f>
        <v>3.6669999999999998</v>
      </c>
      <c r="D22" s="2">
        <f t="shared" si="1"/>
        <v>2.6669999999999998</v>
      </c>
      <c r="E22" s="38"/>
      <c r="F22" s="38"/>
      <c r="H22" s="170">
        <v>3610</v>
      </c>
      <c r="I22" s="172">
        <f t="shared" ref="I22:I24" si="2">H22*0.75</f>
        <v>2707.5</v>
      </c>
      <c r="J22" s="175" t="s">
        <v>78</v>
      </c>
      <c r="K22" s="138" t="s">
        <v>81</v>
      </c>
    </row>
    <row r="23" spans="1:11" ht="18" customHeight="1" x14ac:dyDescent="0.2">
      <c r="A23" s="141" t="s">
        <v>73</v>
      </c>
      <c r="B23" s="73">
        <f>B21/B22</f>
        <v>1859.1794104453152</v>
      </c>
      <c r="C23" s="73">
        <f t="shared" ref="C23:D23" si="3">C21/C22</f>
        <v>1936.7036855188853</v>
      </c>
      <c r="D23" s="73">
        <f t="shared" si="3"/>
        <v>2146.6072202995415</v>
      </c>
      <c r="E23" s="274"/>
      <c r="F23" s="274"/>
      <c r="H23" s="170">
        <v>4670</v>
      </c>
      <c r="I23" s="172">
        <f t="shared" si="2"/>
        <v>3502.5</v>
      </c>
      <c r="J23" s="175" t="s">
        <v>79</v>
      </c>
      <c r="K23" s="138" t="s">
        <v>82</v>
      </c>
    </row>
    <row r="24" spans="1:11" ht="18" customHeight="1" x14ac:dyDescent="0.2">
      <c r="A24" s="141" t="s">
        <v>176</v>
      </c>
      <c r="B24" s="198">
        <v>0</v>
      </c>
      <c r="C24" s="198">
        <v>0</v>
      </c>
      <c r="D24" s="198">
        <v>1510</v>
      </c>
      <c r="E24" s="141"/>
      <c r="F24" s="37"/>
      <c r="H24" s="175">
        <v>7345</v>
      </c>
      <c r="I24" s="172">
        <f t="shared" si="2"/>
        <v>5508.75</v>
      </c>
      <c r="J24" s="175" t="s">
        <v>165</v>
      </c>
      <c r="K24" s="104" t="s">
        <v>126</v>
      </c>
    </row>
    <row r="25" spans="1:11" s="187" customFormat="1" ht="18" customHeight="1" x14ac:dyDescent="0.2">
      <c r="A25" s="39"/>
      <c r="B25" s="199">
        <f>SUM(B23:B24)</f>
        <v>1859.1794104453152</v>
      </c>
      <c r="C25" s="199">
        <f t="shared" ref="C25:D25" si="4">SUM(C23:C24)</f>
        <v>1936.7036855188853</v>
      </c>
      <c r="D25" s="199">
        <f t="shared" si="4"/>
        <v>3656.6072202995415</v>
      </c>
      <c r="E25" s="141"/>
      <c r="F25" s="37"/>
      <c r="H25" s="191"/>
      <c r="I25" s="192"/>
      <c r="J25" s="191"/>
      <c r="K25" s="193"/>
    </row>
    <row r="26" spans="1:11" s="187" customFormat="1" ht="18" customHeight="1" x14ac:dyDescent="0.2">
      <c r="A26" s="39"/>
      <c r="B26" s="70" t="str">
        <f>IF(B25&lt;=0,"NONE",IF(B25&lt;=I21,J21,IF(B25&lt;=I22,J22,IF(B25&lt;=I23,J23,IF(B25&lt;=I24,J24)))))</f>
        <v>HTT4</v>
      </c>
      <c r="C26" s="70" t="str">
        <f>IF(C25&lt;=0,"NONE",IF(C25&lt;=$I$21,$J$21,IF(C25&lt;=$I$22,$J$22,IF(C25&lt;=$I$23,$J$23,IF(C25&lt;=$I$24,$J$24)))))</f>
        <v>HTT4</v>
      </c>
      <c r="D26" s="70" t="str">
        <f>IF(D25&lt;=0,"NONE",IF(D25&lt;=$I$21,$J$21,IF(D25&lt;=$I$22,$J$22,IF(D25&lt;=$I$23,$J$23,IF(D25&lt;=$I$24,$J$24)))))</f>
        <v>HD7B</v>
      </c>
      <c r="E26" s="141"/>
      <c r="F26" s="37"/>
      <c r="H26" s="191"/>
      <c r="I26" s="192"/>
      <c r="J26" s="191"/>
      <c r="K26" s="193"/>
    </row>
    <row r="27" spans="1:11" s="187" customFormat="1" ht="18" customHeight="1" x14ac:dyDescent="0.2">
      <c r="I27" s="192"/>
      <c r="J27" s="191"/>
      <c r="K27" s="193"/>
    </row>
    <row r="28" spans="1:11" s="187" customFormat="1" ht="18" customHeight="1" x14ac:dyDescent="0.2">
      <c r="A28" s="261" t="s">
        <v>175</v>
      </c>
      <c r="B28" s="262"/>
      <c r="C28" s="262"/>
      <c r="D28" s="262"/>
      <c r="E28" s="262"/>
      <c r="F28" s="262"/>
      <c r="G28" s="262"/>
      <c r="H28" s="263"/>
      <c r="I28" s="192"/>
      <c r="J28" s="191"/>
      <c r="K28" s="193"/>
    </row>
    <row r="29" spans="1:11" s="187" customFormat="1" ht="18" customHeight="1" x14ac:dyDescent="0.2">
      <c r="A29" s="264"/>
      <c r="B29" s="265"/>
      <c r="C29" s="265"/>
      <c r="D29" s="265"/>
      <c r="E29" s="265"/>
      <c r="F29" s="265"/>
      <c r="G29" s="265"/>
      <c r="H29" s="266"/>
      <c r="I29" s="192"/>
      <c r="J29" s="191"/>
      <c r="K29" s="193"/>
    </row>
    <row r="30" spans="1:11" s="187" customFormat="1" ht="18" customHeight="1" thickBot="1" x14ac:dyDescent="0.25">
      <c r="A30" s="228" t="s">
        <v>205</v>
      </c>
      <c r="B30" s="189" t="s">
        <v>202</v>
      </c>
      <c r="C30" s="189" t="s">
        <v>203</v>
      </c>
      <c r="D30" s="190" t="s">
        <v>204</v>
      </c>
      <c r="E30" s="189" t="s">
        <v>174</v>
      </c>
      <c r="F30" s="190" t="s">
        <v>207</v>
      </c>
      <c r="G30" s="226" t="s">
        <v>206</v>
      </c>
      <c r="H30" s="213" t="s">
        <v>208</v>
      </c>
      <c r="I30" s="192"/>
      <c r="J30" s="191"/>
      <c r="K30" s="193"/>
    </row>
    <row r="31" spans="1:11" s="187" customFormat="1" ht="18" customHeight="1" thickBot="1" x14ac:dyDescent="0.25">
      <c r="A31" s="229">
        <f>MAX(G6,G7)</f>
        <v>230.23367831360943</v>
      </c>
      <c r="B31" s="225">
        <v>3.5</v>
      </c>
      <c r="C31" s="188">
        <v>8</v>
      </c>
      <c r="D31" s="194">
        <f>C31/B31</f>
        <v>2.2857142857142856</v>
      </c>
      <c r="E31" s="195">
        <f>(2*B31)/C31</f>
        <v>0.875</v>
      </c>
      <c r="F31" s="224">
        <v>280</v>
      </c>
      <c r="G31" s="227">
        <f>F31*E31</f>
        <v>245</v>
      </c>
      <c r="H31" s="225" t="str">
        <f>IF(G31&gt;A31,"GOOD","BAD")</f>
        <v>GOOD</v>
      </c>
      <c r="I31" s="192"/>
      <c r="J31" s="191"/>
      <c r="K31" s="193"/>
    </row>
    <row r="32" spans="1:11" ht="18" customHeight="1" x14ac:dyDescent="0.2">
      <c r="A32"/>
      <c r="B32"/>
      <c r="C32"/>
      <c r="D32"/>
      <c r="E32"/>
      <c r="F32"/>
      <c r="G32"/>
      <c r="H32"/>
    </row>
    <row r="33" spans="1:16" ht="18" customHeight="1" x14ac:dyDescent="0.2">
      <c r="E33" s="141"/>
      <c r="F33" s="148"/>
      <c r="I33" s="7"/>
      <c r="J33" s="7"/>
    </row>
    <row r="34" spans="1:16" ht="18" customHeight="1" x14ac:dyDescent="0.2">
      <c r="A34" s="280" t="s">
        <v>195</v>
      </c>
      <c r="B34" s="280"/>
      <c r="C34" s="280"/>
      <c r="D34" s="280"/>
      <c r="E34" s="280"/>
      <c r="F34" s="280"/>
      <c r="G34" s="280"/>
    </row>
    <row r="35" spans="1:16" ht="18" customHeight="1" x14ac:dyDescent="0.2">
      <c r="A35" s="211" t="s">
        <v>154</v>
      </c>
      <c r="B35" s="208" t="s">
        <v>197</v>
      </c>
      <c r="C35" s="210" t="s">
        <v>196</v>
      </c>
      <c r="D35" s="208" t="s">
        <v>198</v>
      </c>
      <c r="E35" s="208" t="s">
        <v>200</v>
      </c>
      <c r="F35" s="278" t="s">
        <v>199</v>
      </c>
      <c r="G35" s="279"/>
    </row>
    <row r="36" spans="1:16" ht="18" customHeight="1" x14ac:dyDescent="0.2">
      <c r="A36" s="211" t="s">
        <v>156</v>
      </c>
      <c r="B36" s="207">
        <v>445</v>
      </c>
      <c r="C36" s="220">
        <v>32</v>
      </c>
      <c r="D36" s="69">
        <f>ROUNDUP(MAX($F$6:$F$7)/B36,0)</f>
        <v>7</v>
      </c>
      <c r="E36" s="218">
        <f>C36/(D36-1)</f>
        <v>5.333333333333333</v>
      </c>
      <c r="F36" s="221">
        <f>B36*D36</f>
        <v>3115</v>
      </c>
      <c r="G36" s="208" t="str">
        <f>IF(F36&gt;MAX($F$6:$F$7),"OK","bad")</f>
        <v>OK</v>
      </c>
    </row>
    <row r="37" spans="1:16" ht="18" customHeight="1" x14ac:dyDescent="0.2">
      <c r="A37" s="211"/>
      <c r="B37" s="6"/>
      <c r="C37" s="68"/>
      <c r="D37" s="69"/>
      <c r="E37" s="169"/>
      <c r="F37" s="217"/>
      <c r="G37" s="217"/>
    </row>
    <row r="38" spans="1:16" ht="18" customHeight="1" x14ac:dyDescent="0.2">
      <c r="A38" s="219" t="s">
        <v>210</v>
      </c>
      <c r="B38" s="209"/>
      <c r="C38" s="209"/>
      <c r="D38" s="209"/>
      <c r="E38" s="209"/>
      <c r="F38" s="209"/>
      <c r="G38" s="40"/>
    </row>
    <row r="39" spans="1:16" ht="18" customHeight="1" x14ac:dyDescent="0.2">
      <c r="A39" s="219" t="s">
        <v>209</v>
      </c>
      <c r="H39" s="38"/>
    </row>
    <row r="40" spans="1:16" ht="18" customHeight="1" x14ac:dyDescent="0.2">
      <c r="H40" s="38"/>
      <c r="J40" s="142"/>
    </row>
    <row r="41" spans="1:16" ht="18" customHeight="1" x14ac:dyDescent="0.2">
      <c r="A41" s="275" t="s">
        <v>155</v>
      </c>
      <c r="B41" s="276"/>
      <c r="C41" s="276"/>
      <c r="D41" s="276"/>
      <c r="E41" s="276"/>
      <c r="F41" s="276"/>
      <c r="G41" s="277"/>
      <c r="H41" s="38"/>
    </row>
    <row r="42" spans="1:16" ht="18" customHeight="1" x14ac:dyDescent="0.2">
      <c r="A42" s="71" t="s">
        <v>75</v>
      </c>
      <c r="B42" s="139" t="s">
        <v>84</v>
      </c>
      <c r="C42" s="144" t="s">
        <v>88</v>
      </c>
      <c r="D42" s="166" t="s">
        <v>87</v>
      </c>
      <c r="E42" s="167" t="s">
        <v>85</v>
      </c>
      <c r="F42" s="278" t="s">
        <v>86</v>
      </c>
      <c r="G42" s="279"/>
      <c r="H42" s="51"/>
    </row>
    <row r="43" spans="1:16" ht="18" customHeight="1" x14ac:dyDescent="0.2">
      <c r="A43" s="68">
        <v>1180</v>
      </c>
      <c r="B43" s="74">
        <f>B3</f>
        <v>5</v>
      </c>
      <c r="C43" s="69">
        <f>MAX($G$6:$G$7)*B43</f>
        <v>1151.1683915680471</v>
      </c>
      <c r="D43" s="68">
        <v>2</v>
      </c>
      <c r="E43" s="168">
        <f>(B43-(16/12*2))*12/(D43-1)</f>
        <v>28</v>
      </c>
      <c r="F43" s="189">
        <f>D43*$A$43</f>
        <v>2360</v>
      </c>
      <c r="G43" s="189" t="str">
        <f>IF(F43&gt;=C43,"OK","FAIL")</f>
        <v>OK</v>
      </c>
      <c r="H43" s="38"/>
    </row>
    <row r="44" spans="1:16" ht="18" customHeight="1" x14ac:dyDescent="0.2">
      <c r="A44" s="6"/>
      <c r="B44" s="74">
        <f>C3</f>
        <v>4.5</v>
      </c>
      <c r="C44" s="69">
        <f>MAX($G$6:$G$7)*B44</f>
        <v>1036.0515524112425</v>
      </c>
      <c r="D44" s="68">
        <v>2</v>
      </c>
      <c r="E44" s="168">
        <f>(B44-(16/12*2))*12/(D44-1)</f>
        <v>22</v>
      </c>
      <c r="F44" s="189">
        <f>D44*$A$43</f>
        <v>2360</v>
      </c>
      <c r="G44" s="189" t="str">
        <f>IF(F44&gt;=C44,"OK","FAIL")</f>
        <v>OK</v>
      </c>
      <c r="H44" s="38"/>
    </row>
    <row r="45" spans="1:16" ht="18" customHeight="1" x14ac:dyDescent="0.2">
      <c r="A45" s="6"/>
      <c r="B45" s="196">
        <f>D3</f>
        <v>3.5</v>
      </c>
      <c r="C45" s="69">
        <f>MAX($G$6:$G$7)*B45</f>
        <v>805.81787409763297</v>
      </c>
      <c r="D45" s="68">
        <v>2</v>
      </c>
      <c r="E45" s="168">
        <f>(B45-(16/12*2))*12/(D45-1)</f>
        <v>10.000000000000002</v>
      </c>
      <c r="F45" s="189">
        <f>D45*$A$43</f>
        <v>2360</v>
      </c>
      <c r="G45" s="189" t="str">
        <f>IF(F45&gt;=C45,"OK","FAIL")</f>
        <v>OK</v>
      </c>
      <c r="H45" s="38"/>
      <c r="J45"/>
      <c r="K45"/>
      <c r="L45"/>
      <c r="M45"/>
      <c r="N45"/>
      <c r="O45"/>
      <c r="P45"/>
    </row>
    <row r="46" spans="1:16" ht="18" customHeight="1" x14ac:dyDescent="0.2">
      <c r="H46" s="38"/>
      <c r="J46"/>
      <c r="K46"/>
      <c r="L46"/>
      <c r="M46"/>
      <c r="N46"/>
      <c r="O46"/>
      <c r="P46"/>
    </row>
    <row r="47" spans="1:16" ht="18" customHeight="1" x14ac:dyDescent="0.2">
      <c r="H47" s="38"/>
      <c r="J47"/>
      <c r="K47"/>
      <c r="L47"/>
      <c r="M47"/>
      <c r="N47"/>
      <c r="O47"/>
      <c r="P47"/>
    </row>
    <row r="48" spans="1:16" ht="18" customHeight="1" x14ac:dyDescent="0.2">
      <c r="H48" s="38"/>
      <c r="J48"/>
      <c r="K48"/>
      <c r="L48"/>
      <c r="M48"/>
      <c r="N48"/>
      <c r="O48"/>
      <c r="P48"/>
    </row>
    <row r="49" spans="1:16" ht="18" customHeight="1" x14ac:dyDescent="0.2">
      <c r="H49" s="7"/>
      <c r="J49"/>
      <c r="K49"/>
      <c r="L49"/>
      <c r="M49"/>
      <c r="N49"/>
      <c r="O49"/>
      <c r="P49"/>
    </row>
    <row r="50" spans="1:16" ht="18" customHeight="1" x14ac:dyDescent="0.2">
      <c r="H50" s="7"/>
      <c r="J50"/>
      <c r="K50"/>
      <c r="L50"/>
      <c r="M50"/>
      <c r="N50"/>
      <c r="O50"/>
      <c r="P50"/>
    </row>
    <row r="51" spans="1:16" ht="18" customHeight="1" x14ac:dyDescent="0.2">
      <c r="H51" s="7"/>
      <c r="J51"/>
      <c r="K51"/>
      <c r="L51"/>
      <c r="M51"/>
      <c r="N51"/>
      <c r="O51"/>
      <c r="P51"/>
    </row>
    <row r="52" spans="1:16" ht="18" customHeight="1" x14ac:dyDescent="0.2">
      <c r="J52"/>
      <c r="K52"/>
      <c r="L52"/>
      <c r="M52"/>
      <c r="N52"/>
      <c r="O52"/>
      <c r="P52"/>
    </row>
    <row r="53" spans="1:16" ht="18" customHeight="1" x14ac:dyDescent="0.2">
      <c r="J53"/>
      <c r="K53"/>
      <c r="L53"/>
      <c r="M53"/>
      <c r="N53"/>
      <c r="O53"/>
      <c r="P53"/>
    </row>
    <row r="54" spans="1:16" ht="18" customHeight="1" x14ac:dyDescent="0.2">
      <c r="J54"/>
      <c r="K54"/>
      <c r="L54"/>
      <c r="M54"/>
      <c r="N54"/>
      <c r="O54"/>
      <c r="P54"/>
    </row>
    <row r="56" spans="1:16" ht="18" customHeight="1" x14ac:dyDescent="0.2">
      <c r="A56" s="31"/>
      <c r="B56" s="145"/>
      <c r="C56" s="145"/>
      <c r="D56" s="7"/>
      <c r="E56" s="31"/>
      <c r="F56" s="145"/>
      <c r="G56" s="7"/>
      <c r="H56" s="7"/>
    </row>
    <row r="57" spans="1:16" ht="18" customHeight="1" x14ac:dyDescent="0.25">
      <c r="A57" s="46"/>
      <c r="B57" s="48"/>
      <c r="C57" s="48"/>
      <c r="D57" s="7"/>
      <c r="E57" s="7"/>
      <c r="F57" s="7"/>
      <c r="G57" s="7"/>
      <c r="H57" s="7"/>
    </row>
    <row r="58" spans="1:16" ht="18" customHeight="1" x14ac:dyDescent="0.2">
      <c r="A58" s="36"/>
      <c r="B58" s="36"/>
      <c r="C58" s="36"/>
      <c r="D58" s="7"/>
      <c r="E58" s="31"/>
      <c r="F58" s="146"/>
      <c r="G58" s="7"/>
      <c r="H58" s="7"/>
    </row>
    <row r="59" spans="1:16" ht="18" customHeight="1" x14ac:dyDescent="0.2">
      <c r="A59" s="36"/>
      <c r="B59" s="36"/>
      <c r="C59" s="36"/>
      <c r="D59" s="7"/>
      <c r="E59" s="31"/>
      <c r="F59" s="268"/>
      <c r="G59" s="268"/>
      <c r="H59" s="268"/>
    </row>
    <row r="60" spans="1:16" ht="18" customHeight="1" x14ac:dyDescent="0.2">
      <c r="A60" s="36"/>
      <c r="B60" s="36"/>
      <c r="C60" s="36"/>
      <c r="D60" s="7"/>
      <c r="E60" s="145"/>
      <c r="F60" s="7"/>
      <c r="G60" s="7"/>
      <c r="H60" s="7"/>
    </row>
    <row r="61" spans="1:16" ht="18" customHeight="1" x14ac:dyDescent="0.2">
      <c r="A61" s="36"/>
      <c r="B61" s="36"/>
      <c r="C61" s="36"/>
      <c r="D61" s="7"/>
      <c r="E61" s="7"/>
      <c r="F61" s="7"/>
      <c r="G61" s="7"/>
      <c r="H61" s="7"/>
    </row>
    <row r="62" spans="1:16" ht="18" customHeight="1" x14ac:dyDescent="0.25">
      <c r="A62" s="46"/>
      <c r="B62" s="48"/>
      <c r="C62" s="48"/>
      <c r="D62" s="7"/>
      <c r="E62" s="7"/>
      <c r="F62" s="7"/>
      <c r="G62" s="7"/>
      <c r="H62" s="7"/>
    </row>
    <row r="63" spans="1:16" ht="18" customHeight="1" x14ac:dyDescent="0.2">
      <c r="A63" s="31"/>
      <c r="B63" s="36"/>
      <c r="C63" s="36"/>
      <c r="D63" s="7"/>
      <c r="E63" s="31"/>
      <c r="F63" s="146"/>
      <c r="G63" s="7"/>
      <c r="H63" s="7"/>
    </row>
    <row r="64" spans="1:16" ht="18" customHeight="1" x14ac:dyDescent="0.2">
      <c r="A64" s="31"/>
      <c r="B64" s="36"/>
      <c r="C64" s="36"/>
      <c r="D64" s="7"/>
      <c r="E64" s="31"/>
      <c r="F64" s="47"/>
      <c r="G64" s="7"/>
      <c r="H64" s="7"/>
    </row>
    <row r="65" spans="1:8" ht="18" customHeight="1" x14ac:dyDescent="0.2">
      <c r="A65" s="31"/>
      <c r="B65" s="41"/>
      <c r="C65" s="41"/>
      <c r="D65" s="7"/>
      <c r="E65" s="145"/>
      <c r="F65" s="7"/>
      <c r="G65" s="7"/>
      <c r="H65" s="7"/>
    </row>
    <row r="66" spans="1:8" ht="18" customHeight="1" x14ac:dyDescent="0.25">
      <c r="A66" s="140"/>
    </row>
  </sheetData>
  <mergeCells count="11">
    <mergeCell ref="A41:G41"/>
    <mergeCell ref="F42:G42"/>
    <mergeCell ref="F59:H59"/>
    <mergeCell ref="A34:G34"/>
    <mergeCell ref="F35:G35"/>
    <mergeCell ref="A28:H29"/>
    <mergeCell ref="B2:C2"/>
    <mergeCell ref="F12:H12"/>
    <mergeCell ref="H18:K18"/>
    <mergeCell ref="J19:K19"/>
    <mergeCell ref="E23:F23"/>
  </mergeCells>
  <conditionalFormatting sqref="B65:C65 B18:C18">
    <cfRule type="cellIs" dxfId="67" priority="14" stopIfTrue="1" operator="greaterThan">
      <formula>$B$13</formula>
    </cfRule>
  </conditionalFormatting>
  <conditionalFormatting sqref="B13">
    <cfRule type="cellIs" dxfId="66" priority="13" stopIfTrue="1" operator="greaterThan">
      <formula>$B$18</formula>
    </cfRule>
  </conditionalFormatting>
  <conditionalFormatting sqref="C13">
    <cfRule type="cellIs" dxfId="65" priority="12" stopIfTrue="1" operator="greaterThan">
      <formula>$C$18</formula>
    </cfRule>
  </conditionalFormatting>
  <conditionalFormatting sqref="B23:D23">
    <cfRule type="cellIs" dxfId="64" priority="11" stopIfTrue="1" operator="greaterThan">
      <formula>$B$13</formula>
    </cfRule>
  </conditionalFormatting>
  <conditionalFormatting sqref="B8">
    <cfRule type="cellIs" dxfId="63" priority="10" stopIfTrue="1" operator="greaterThan">
      <formula>$B$18</formula>
    </cfRule>
  </conditionalFormatting>
  <conditionalFormatting sqref="C8">
    <cfRule type="cellIs" dxfId="62" priority="9" stopIfTrue="1" operator="greaterThan">
      <formula>$B$18</formula>
    </cfRule>
  </conditionalFormatting>
  <conditionalFormatting sqref="G6">
    <cfRule type="cellIs" dxfId="61" priority="8" operator="greaterThan">
      <formula>$G$7</formula>
    </cfRule>
  </conditionalFormatting>
  <conditionalFormatting sqref="G7">
    <cfRule type="cellIs" dxfId="60" priority="7" operator="greaterThan">
      <formula>$G$6</formula>
    </cfRule>
  </conditionalFormatting>
  <conditionalFormatting sqref="D18">
    <cfRule type="cellIs" dxfId="59" priority="6" stopIfTrue="1" operator="greaterThan">
      <formula>$B$13</formula>
    </cfRule>
  </conditionalFormatting>
  <conditionalFormatting sqref="D13">
    <cfRule type="cellIs" dxfId="58" priority="5" stopIfTrue="1" operator="greaterThan">
      <formula>$C$18</formula>
    </cfRule>
  </conditionalFormatting>
  <conditionalFormatting sqref="D8">
    <cfRule type="cellIs" dxfId="57" priority="4" stopIfTrue="1" operator="greaterThan">
      <formula>$B$18</formula>
    </cfRule>
  </conditionalFormatting>
  <conditionalFormatting sqref="H31">
    <cfRule type="containsText" dxfId="56" priority="2" operator="containsText" text="BAD">
      <formula>NOT(ISERROR(SEARCH("BAD",H31)))</formula>
    </cfRule>
    <cfRule type="containsText" dxfId="55" priority="3" operator="containsText" text="GOOD">
      <formula>NOT(ISERROR(SEARCH("GOOD",H31)))</formula>
    </cfRule>
  </conditionalFormatting>
  <conditionalFormatting sqref="G38">
    <cfRule type="cellIs" dxfId="54" priority="1" stopIfTrue="1" operator="greaterThan">
      <formula>$G$7</formula>
    </cfRule>
  </conditionalFormatting>
  <pageMargins left="0.75" right="0.75" top="1.74" bottom="1" header="0.5" footer="0.5"/>
  <pageSetup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zoomScale="70" zoomScaleNormal="70" zoomScaleSheetLayoutView="90" workbookViewId="0">
      <selection activeCell="A40" sqref="A40:XFD41"/>
    </sheetView>
  </sheetViews>
  <sheetFormatPr defaultRowHeight="18" customHeight="1" x14ac:dyDescent="0.2"/>
  <cols>
    <col min="1" max="1" width="13.5703125" style="143" customWidth="1"/>
    <col min="2" max="2" width="14.28515625" style="143" customWidth="1"/>
    <col min="3" max="3" width="12.28515625" style="143" customWidth="1"/>
    <col min="4" max="4" width="12.42578125" style="143" customWidth="1"/>
    <col min="5" max="5" width="10.42578125" style="143" customWidth="1"/>
    <col min="6" max="6" width="9" style="143" customWidth="1"/>
    <col min="7" max="7" width="10.28515625" style="143" customWidth="1"/>
    <col min="8" max="8" width="13.85546875" style="143" customWidth="1"/>
    <col min="9" max="10" width="9.140625" style="143"/>
    <col min="11" max="11" width="11" style="143" bestFit="1" customWidth="1"/>
    <col min="12" max="16384" width="9.140625" style="143"/>
  </cols>
  <sheetData>
    <row r="1" spans="1:8" ht="18" customHeight="1" x14ac:dyDescent="0.25">
      <c r="A1" s="126" t="s">
        <v>63</v>
      </c>
      <c r="C1" s="127" t="s">
        <v>9</v>
      </c>
    </row>
    <row r="2" spans="1:8" ht="18" customHeight="1" x14ac:dyDescent="0.2">
      <c r="B2" s="267" t="s">
        <v>56</v>
      </c>
      <c r="C2" s="267"/>
      <c r="F2" s="5" t="s">
        <v>61</v>
      </c>
    </row>
    <row r="3" spans="1:8" ht="18" customHeight="1" x14ac:dyDescent="0.3">
      <c r="A3" s="33" t="s">
        <v>51</v>
      </c>
      <c r="B3" s="74">
        <v>14.5</v>
      </c>
      <c r="C3" s="74">
        <v>0</v>
      </c>
      <c r="D3" s="74">
        <v>0</v>
      </c>
      <c r="E3" s="32" t="s">
        <v>54</v>
      </c>
      <c r="F3" s="66">
        <f>'wind-siesmic'!$B$47</f>
        <v>15.274999999999999</v>
      </c>
    </row>
    <row r="4" spans="1:8" ht="18" customHeight="1" x14ac:dyDescent="0.3">
      <c r="A4" s="32" t="s">
        <v>50</v>
      </c>
      <c r="B4" s="65">
        <v>8</v>
      </c>
      <c r="C4" s="65">
        <v>0</v>
      </c>
      <c r="D4" s="65">
        <v>0</v>
      </c>
      <c r="E4" s="32" t="s">
        <v>55</v>
      </c>
      <c r="F4" s="64">
        <f>'wind-siesmic'!$G$41</f>
        <v>15</v>
      </c>
    </row>
    <row r="5" spans="1:8" ht="18" customHeight="1" x14ac:dyDescent="0.3">
      <c r="A5" s="32" t="s">
        <v>74</v>
      </c>
      <c r="B5" s="63">
        <f>B3*(31.75/2)+2</f>
        <v>232.1875</v>
      </c>
      <c r="C5" s="63">
        <f t="shared" ref="C5:D5" si="0">C3*(12.25+2)</f>
        <v>0</v>
      </c>
      <c r="D5" s="63">
        <f t="shared" si="0"/>
        <v>0</v>
      </c>
      <c r="E5" s="142" t="s">
        <v>62</v>
      </c>
      <c r="F5" s="62">
        <f>SUM(B3:D3)</f>
        <v>14.5</v>
      </c>
    </row>
    <row r="6" spans="1:8" ht="18" customHeight="1" x14ac:dyDescent="0.3">
      <c r="A6" s="32" t="s">
        <v>52</v>
      </c>
      <c r="B6" s="29">
        <f>B5*F3</f>
        <v>3546.6640624999995</v>
      </c>
      <c r="C6" s="29">
        <f>C5*F3</f>
        <v>0</v>
      </c>
      <c r="D6" s="29">
        <f>D5*F3</f>
        <v>0</v>
      </c>
      <c r="E6" s="32" t="s">
        <v>48</v>
      </c>
      <c r="F6" s="223">
        <f>'wind-siesmic'!$F$74</f>
        <v>2690.5372603846149</v>
      </c>
      <c r="G6" s="222">
        <f>F6/F5</f>
        <v>185.55429381962861</v>
      </c>
      <c r="H6" s="30" t="s">
        <v>166</v>
      </c>
    </row>
    <row r="7" spans="1:8" ht="18" customHeight="1" x14ac:dyDescent="0.3">
      <c r="A7" s="32" t="s">
        <v>53</v>
      </c>
      <c r="B7" s="29">
        <f>B3*B4*F4</f>
        <v>1740</v>
      </c>
      <c r="C7" s="29">
        <f>C3*C4*F4</f>
        <v>0</v>
      </c>
      <c r="D7" s="29">
        <f>D3*D4*F4</f>
        <v>0</v>
      </c>
      <c r="E7" s="32" t="s">
        <v>49</v>
      </c>
      <c r="F7" s="223">
        <f>'wind-siesmic'!$H$74</f>
        <v>1174.5720000000001</v>
      </c>
      <c r="G7" s="222">
        <f>F7/F5</f>
        <v>81.004965517241388</v>
      </c>
    </row>
    <row r="8" spans="1:8" ht="18" customHeight="1" x14ac:dyDescent="0.3">
      <c r="A8" s="32" t="s">
        <v>57</v>
      </c>
      <c r="B8" s="60">
        <f>SUM(B6:B7)</f>
        <v>5286.6640625</v>
      </c>
      <c r="C8" s="60">
        <f>SUM(C6:C7)</f>
        <v>0</v>
      </c>
      <c r="D8" s="60">
        <f>SUM(D6:D7)</f>
        <v>0</v>
      </c>
      <c r="E8" s="8" t="s">
        <v>2</v>
      </c>
      <c r="F8" s="11">
        <f>'wind-siesmic'!$B$30</f>
        <v>2.0190000000000001</v>
      </c>
    </row>
    <row r="9" spans="1:8" ht="18" customHeight="1" x14ac:dyDescent="0.2">
      <c r="A9" s="32"/>
      <c r="B9" s="145"/>
      <c r="C9" s="7"/>
      <c r="D9" s="7"/>
      <c r="E9" s="7"/>
      <c r="F9" s="7"/>
    </row>
    <row r="10" spans="1:8" ht="18" customHeight="1" x14ac:dyDescent="0.25">
      <c r="A10" s="140" t="s">
        <v>44</v>
      </c>
      <c r="B10" s="34">
        <f>B3</f>
        <v>14.5</v>
      </c>
      <c r="C10" s="34">
        <f>C3</f>
        <v>0</v>
      </c>
      <c r="D10" s="34">
        <f>D3</f>
        <v>0</v>
      </c>
    </row>
    <row r="11" spans="1:8" ht="18" customHeight="1" x14ac:dyDescent="0.3">
      <c r="A11" s="32" t="s">
        <v>45</v>
      </c>
      <c r="B11" s="29">
        <f>G6*B4*B10</f>
        <v>21524.298083076919</v>
      </c>
      <c r="C11" s="29">
        <f>G6*C4*C10</f>
        <v>0</v>
      </c>
      <c r="D11" s="29">
        <f>G6*D4*D10</f>
        <v>0</v>
      </c>
      <c r="E11" s="32" t="s">
        <v>45</v>
      </c>
      <c r="F11" s="146" t="s">
        <v>58</v>
      </c>
      <c r="H11" s="7"/>
    </row>
    <row r="12" spans="1:8" ht="18" customHeight="1" x14ac:dyDescent="0.3">
      <c r="A12" s="31" t="s">
        <v>46</v>
      </c>
      <c r="B12" s="29">
        <f>(0.6*B8-0.7*(0.2*F8*B8))*(B3/2)</f>
        <v>12163.107308554685</v>
      </c>
      <c r="C12" s="29">
        <f>(0.6*C8-0.7*(0.2*F8*C8))*(C3/2)</f>
        <v>0</v>
      </c>
      <c r="D12" s="29">
        <f>(0.6*D8-0.7*(0.2*F8*D8))*(D3/2)</f>
        <v>0</v>
      </c>
      <c r="E12" s="31" t="s">
        <v>46</v>
      </c>
      <c r="F12" s="268" t="s">
        <v>71</v>
      </c>
      <c r="G12" s="268"/>
      <c r="H12" s="268"/>
    </row>
    <row r="13" spans="1:8" ht="18" customHeight="1" x14ac:dyDescent="0.2">
      <c r="A13" s="32" t="s">
        <v>64</v>
      </c>
      <c r="B13" s="72">
        <f>B11-B12</f>
        <v>9361.1907745222343</v>
      </c>
      <c r="C13" s="72">
        <f>C11-C12</f>
        <v>0</v>
      </c>
      <c r="D13" s="72">
        <f>D11-D12</f>
        <v>0</v>
      </c>
      <c r="E13" s="142" t="str">
        <f>IF(C13&gt;C18,"governs","--")</f>
        <v>--</v>
      </c>
    </row>
    <row r="15" spans="1:8" ht="18" customHeight="1" x14ac:dyDescent="0.25">
      <c r="A15" s="140" t="s">
        <v>47</v>
      </c>
      <c r="B15" s="34">
        <f>B3</f>
        <v>14.5</v>
      </c>
      <c r="C15" s="34">
        <f>C3</f>
        <v>0</v>
      </c>
      <c r="D15" s="34">
        <f>D3</f>
        <v>0</v>
      </c>
    </row>
    <row r="16" spans="1:8" ht="18" customHeight="1" x14ac:dyDescent="0.3">
      <c r="A16" s="32" t="s">
        <v>45</v>
      </c>
      <c r="B16" s="29">
        <f>G7*B4*B15</f>
        <v>9396.5760000000009</v>
      </c>
      <c r="C16" s="29">
        <f>C15*G7*C4</f>
        <v>0</v>
      </c>
      <c r="D16" s="29">
        <f>D15*G7*D4</f>
        <v>0</v>
      </c>
      <c r="E16" s="32" t="s">
        <v>45</v>
      </c>
      <c r="F16" s="147" t="s">
        <v>59</v>
      </c>
    </row>
    <row r="17" spans="1:11" ht="18" customHeight="1" x14ac:dyDescent="0.3">
      <c r="A17" s="32" t="s">
        <v>46</v>
      </c>
      <c r="B17" s="29">
        <f>0.6*B8*(B3/2)</f>
        <v>22996.988671874999</v>
      </c>
      <c r="C17" s="29">
        <f>0.6*C8*(C3/2)</f>
        <v>0</v>
      </c>
      <c r="D17" s="29">
        <f>0.6*D8*(D3/2)</f>
        <v>0</v>
      </c>
      <c r="E17" s="32" t="s">
        <v>46</v>
      </c>
      <c r="F17" s="30" t="s">
        <v>60</v>
      </c>
      <c r="H17" s="5"/>
      <c r="I17" s="5"/>
      <c r="J17" s="5"/>
      <c r="K17" s="5"/>
    </row>
    <row r="18" spans="1:11" ht="18" customHeight="1" x14ac:dyDescent="0.2">
      <c r="A18" s="32" t="s">
        <v>64</v>
      </c>
      <c r="B18" s="72">
        <f>B16-B17</f>
        <v>-13600.412671874998</v>
      </c>
      <c r="C18" s="72">
        <f>C16-C17</f>
        <v>0</v>
      </c>
      <c r="D18" s="72">
        <f>D16-D17</f>
        <v>0</v>
      </c>
      <c r="E18" s="145" t="str">
        <f>IF(C18&gt;C13,"governs","--")</f>
        <v>--</v>
      </c>
      <c r="H18" s="269" t="s">
        <v>157</v>
      </c>
      <c r="I18" s="270"/>
      <c r="J18" s="270"/>
      <c r="K18" s="271"/>
    </row>
    <row r="19" spans="1:11" ht="18" customHeight="1" x14ac:dyDescent="0.25">
      <c r="A19" s="140"/>
      <c r="H19" s="104" t="s">
        <v>163</v>
      </c>
      <c r="I19" s="104" t="s">
        <v>161</v>
      </c>
      <c r="J19" s="272" t="s">
        <v>160</v>
      </c>
      <c r="K19" s="273"/>
    </row>
    <row r="20" spans="1:11" ht="18" customHeight="1" x14ac:dyDescent="0.25">
      <c r="A20" s="140" t="s">
        <v>72</v>
      </c>
      <c r="B20" s="42"/>
      <c r="C20" s="42"/>
      <c r="D20" s="42"/>
      <c r="E20" s="145"/>
      <c r="F20" s="42"/>
      <c r="H20" s="144" t="s">
        <v>162</v>
      </c>
      <c r="I20" s="144" t="s">
        <v>164</v>
      </c>
      <c r="J20" s="144" t="s">
        <v>158</v>
      </c>
      <c r="K20" s="71" t="s">
        <v>159</v>
      </c>
    </row>
    <row r="21" spans="1:11" ht="18" customHeight="1" x14ac:dyDescent="0.2">
      <c r="A21" s="32" t="s">
        <v>64</v>
      </c>
      <c r="B21" s="61">
        <f>IF(B18&gt;B13,B18,B13)</f>
        <v>9361.1907745222343</v>
      </c>
      <c r="C21" s="61">
        <f>IF(C18&gt;C13,C18,C13)</f>
        <v>0</v>
      </c>
      <c r="D21" s="61">
        <f>IF(D18&gt;D13,D18,D13)</f>
        <v>0</v>
      </c>
      <c r="E21" s="165" t="s">
        <v>153</v>
      </c>
      <c r="H21" s="171">
        <v>1500</v>
      </c>
      <c r="I21" s="172">
        <f>H21*0.75</f>
        <v>1125</v>
      </c>
      <c r="J21" s="173" t="s">
        <v>80</v>
      </c>
      <c r="K21" s="174" t="s">
        <v>81</v>
      </c>
    </row>
    <row r="22" spans="1:11" ht="18" customHeight="1" x14ac:dyDescent="0.3">
      <c r="A22" s="33" t="s">
        <v>51</v>
      </c>
      <c r="B22" s="2">
        <f>B3-0.833</f>
        <v>13.667</v>
      </c>
      <c r="C22" s="2">
        <f t="shared" ref="C22:D22" si="1">C3-0.833</f>
        <v>-0.83299999999999996</v>
      </c>
      <c r="D22" s="2">
        <f t="shared" si="1"/>
        <v>-0.83299999999999996</v>
      </c>
      <c r="E22" s="38"/>
      <c r="F22" s="38"/>
      <c r="H22" s="170">
        <v>3610</v>
      </c>
      <c r="I22" s="172">
        <f t="shared" ref="I22:I24" si="2">H22*0.75</f>
        <v>2707.5</v>
      </c>
      <c r="J22" s="175" t="s">
        <v>78</v>
      </c>
      <c r="K22" s="138" t="s">
        <v>81</v>
      </c>
    </row>
    <row r="23" spans="1:11" ht="18" customHeight="1" x14ac:dyDescent="0.2">
      <c r="A23" s="141" t="s">
        <v>73</v>
      </c>
      <c r="B23" s="73">
        <f>B21/B22</f>
        <v>684.94847256327171</v>
      </c>
      <c r="C23" s="73">
        <f t="shared" ref="C23:D23" si="3">C21/C22</f>
        <v>0</v>
      </c>
      <c r="D23" s="73">
        <f t="shared" si="3"/>
        <v>0</v>
      </c>
      <c r="E23" s="274"/>
      <c r="F23" s="274"/>
      <c r="H23" s="170">
        <v>4670</v>
      </c>
      <c r="I23" s="172">
        <f t="shared" si="2"/>
        <v>3502.5</v>
      </c>
      <c r="J23" s="175" t="s">
        <v>79</v>
      </c>
      <c r="K23" s="138" t="s">
        <v>82</v>
      </c>
    </row>
    <row r="24" spans="1:11" ht="18" customHeight="1" x14ac:dyDescent="0.2">
      <c r="A24" s="39"/>
      <c r="B24" s="70" t="str">
        <f>IF(B23&lt;=0,"NONE",IF(B23&lt;=I21,J21,IF(B23&lt;=I22,J22,IF(B23&lt;=I23,J23,IF(B23&lt;=I24,J24)))))</f>
        <v>LTT20B</v>
      </c>
      <c r="C24" s="70" t="str">
        <f>IF(C23&lt;=0,"NONE",IF(C23&lt;=$I$21,$J$21,IF(C23&lt;=$I$22,$J$22,IF(C23&lt;=$I$23,$J$23,IF(C23&lt;=$I$24,$J$24)))))</f>
        <v>NONE</v>
      </c>
      <c r="D24" s="70" t="str">
        <f>IF(D23&lt;=0,"NONE",IF(D23&lt;=$I$21,$J$21,IF(D23&lt;=$I$22,$J$22,IF(D23&lt;=$I$23,$J$23,IF(D23&lt;=$I$24,$J$24)))))</f>
        <v>NONE</v>
      </c>
      <c r="E24" s="141"/>
      <c r="F24" s="37"/>
      <c r="H24" s="175">
        <v>7345</v>
      </c>
      <c r="I24" s="172">
        <f t="shared" si="2"/>
        <v>5508.75</v>
      </c>
      <c r="J24" s="175" t="s">
        <v>165</v>
      </c>
      <c r="K24" s="104" t="s">
        <v>126</v>
      </c>
    </row>
    <row r="25" spans="1:11" ht="18" customHeight="1" x14ac:dyDescent="0.2">
      <c r="E25" s="141"/>
      <c r="F25" s="148"/>
    </row>
    <row r="26" spans="1:11" ht="18" customHeight="1" x14ac:dyDescent="0.2">
      <c r="A26"/>
      <c r="B26"/>
      <c r="C26"/>
      <c r="D26"/>
      <c r="E26"/>
      <c r="F26"/>
      <c r="G26"/>
      <c r="I26" s="7"/>
      <c r="J26" s="7"/>
    </row>
    <row r="27" spans="1:11" ht="18" customHeight="1" x14ac:dyDescent="0.2">
      <c r="A27"/>
      <c r="B27"/>
      <c r="C27"/>
      <c r="D27"/>
      <c r="E27"/>
      <c r="F27"/>
      <c r="G27"/>
    </row>
    <row r="28" spans="1:11" ht="18" customHeight="1" x14ac:dyDescent="0.2">
      <c r="A28" s="280" t="s">
        <v>195</v>
      </c>
      <c r="B28" s="280"/>
      <c r="C28" s="280"/>
      <c r="D28" s="280"/>
      <c r="E28" s="280"/>
      <c r="F28" s="280"/>
      <c r="G28" s="280"/>
      <c r="H28" s="148"/>
    </row>
    <row r="29" spans="1:11" ht="18" customHeight="1" x14ac:dyDescent="0.2">
      <c r="A29" s="216" t="s">
        <v>154</v>
      </c>
      <c r="B29" s="214" t="s">
        <v>197</v>
      </c>
      <c r="C29" s="215" t="s">
        <v>196</v>
      </c>
      <c r="D29" s="214" t="s">
        <v>198</v>
      </c>
      <c r="E29" s="214" t="s">
        <v>200</v>
      </c>
      <c r="F29" s="278" t="s">
        <v>199</v>
      </c>
      <c r="G29" s="279"/>
    </row>
    <row r="30" spans="1:11" ht="18" customHeight="1" x14ac:dyDescent="0.2">
      <c r="A30" s="216" t="s">
        <v>156</v>
      </c>
      <c r="B30" s="213">
        <v>445</v>
      </c>
      <c r="C30" s="220">
        <v>32</v>
      </c>
      <c r="D30" s="69">
        <f>ROUNDUP(MAX($F$6:$F$7)/B30,0)</f>
        <v>7</v>
      </c>
      <c r="E30" s="218">
        <f>C30/(D30-1)</f>
        <v>5.333333333333333</v>
      </c>
      <c r="F30" s="221">
        <f>B30*D30</f>
        <v>3115</v>
      </c>
      <c r="G30" s="214" t="str">
        <f>IF(F30&gt;MAX($F$6:$F$7),"OK","bad")</f>
        <v>OK</v>
      </c>
    </row>
    <row r="31" spans="1:11" ht="18" customHeight="1" x14ac:dyDescent="0.2">
      <c r="A31" s="216"/>
      <c r="B31" s="6"/>
      <c r="C31" s="68"/>
      <c r="D31" s="69"/>
      <c r="E31" s="169"/>
      <c r="F31" s="217"/>
      <c r="G31" s="217"/>
      <c r="H31" s="38"/>
    </row>
    <row r="32" spans="1:11" ht="18" customHeight="1" x14ac:dyDescent="0.2">
      <c r="A32" s="219" t="s">
        <v>210</v>
      </c>
      <c r="B32" s="212"/>
      <c r="C32" s="212"/>
      <c r="D32" s="212"/>
      <c r="E32" s="212"/>
      <c r="F32" s="212"/>
      <c r="G32" s="40"/>
      <c r="H32" s="38"/>
    </row>
    <row r="33" spans="1:10" ht="18" customHeight="1" x14ac:dyDescent="0.2">
      <c r="A33" s="219" t="s">
        <v>209</v>
      </c>
      <c r="B33" s="212"/>
      <c r="C33" s="212"/>
      <c r="D33" s="212"/>
      <c r="E33" s="212"/>
      <c r="F33" s="212"/>
      <c r="G33" s="212"/>
      <c r="H33" s="38"/>
      <c r="J33" s="142"/>
    </row>
    <row r="34" spans="1:10" ht="18" customHeight="1" x14ac:dyDescent="0.2">
      <c r="A34"/>
      <c r="B34"/>
      <c r="C34"/>
      <c r="D34"/>
      <c r="E34"/>
      <c r="F34"/>
      <c r="G34"/>
      <c r="H34" s="51"/>
    </row>
    <row r="35" spans="1:10" ht="18" customHeight="1" x14ac:dyDescent="0.2">
      <c r="A35"/>
      <c r="B35"/>
      <c r="C35"/>
      <c r="D35"/>
      <c r="E35"/>
      <c r="F35"/>
      <c r="G35"/>
      <c r="H35" s="38"/>
    </row>
    <row r="36" spans="1:10" ht="18" customHeight="1" x14ac:dyDescent="0.2">
      <c r="A36"/>
      <c r="B36"/>
      <c r="C36"/>
      <c r="D36"/>
      <c r="E36"/>
      <c r="F36"/>
      <c r="G36"/>
      <c r="H36" s="38"/>
    </row>
    <row r="37" spans="1:10" ht="18" customHeight="1" x14ac:dyDescent="0.2">
      <c r="A37" s="275" t="s">
        <v>155</v>
      </c>
      <c r="B37" s="276"/>
      <c r="C37" s="276"/>
      <c r="D37" s="276"/>
      <c r="E37" s="276"/>
      <c r="F37" s="276"/>
      <c r="G37" s="277"/>
      <c r="H37" s="38"/>
    </row>
    <row r="38" spans="1:10" ht="18" customHeight="1" x14ac:dyDescent="0.2">
      <c r="A38" s="71" t="s">
        <v>75</v>
      </c>
      <c r="B38" s="139" t="s">
        <v>84</v>
      </c>
      <c r="C38" s="144" t="s">
        <v>88</v>
      </c>
      <c r="D38" s="166" t="s">
        <v>87</v>
      </c>
      <c r="E38" s="167" t="s">
        <v>85</v>
      </c>
      <c r="F38" s="278" t="s">
        <v>86</v>
      </c>
      <c r="G38" s="279"/>
      <c r="H38" s="38"/>
    </row>
    <row r="39" spans="1:10" ht="18" customHeight="1" x14ac:dyDescent="0.2">
      <c r="A39" s="68">
        <v>1180</v>
      </c>
      <c r="B39" s="74">
        <f>B3</f>
        <v>14.5</v>
      </c>
      <c r="C39" s="69">
        <f>MAX($G$6:$G$7)*B39</f>
        <v>2690.5372603846149</v>
      </c>
      <c r="D39" s="68">
        <v>4</v>
      </c>
      <c r="E39" s="168">
        <f>(B39-(16/12*2))*12/(D39-1)</f>
        <v>47.333333333333336</v>
      </c>
      <c r="F39" s="139">
        <f>D39*$A$39</f>
        <v>4720</v>
      </c>
      <c r="G39" s="139" t="str">
        <f>IF(F39&gt;=C39,"OK","FAIL")</f>
        <v>OK</v>
      </c>
      <c r="H39" s="38"/>
    </row>
    <row r="40" spans="1:10" ht="18" hidden="1" customHeight="1" x14ac:dyDescent="0.2">
      <c r="A40" s="6"/>
      <c r="B40" s="74">
        <f>C3</f>
        <v>0</v>
      </c>
      <c r="C40" s="69">
        <f>MAX($G$6:$G$7)*B40</f>
        <v>0</v>
      </c>
      <c r="D40" s="68">
        <v>2</v>
      </c>
      <c r="E40" s="168">
        <f>(B40-(16/12*2))*12/(D40-1)</f>
        <v>-32</v>
      </c>
      <c r="F40" s="139">
        <f>D40*$A$39</f>
        <v>2360</v>
      </c>
      <c r="G40" s="139" t="str">
        <f>IF(F40&gt;=C40,"OK","FAIL")</f>
        <v>OK</v>
      </c>
      <c r="H40" s="38"/>
    </row>
    <row r="41" spans="1:10" ht="18" hidden="1" customHeight="1" x14ac:dyDescent="0.2">
      <c r="A41" s="6"/>
      <c r="B41" s="74">
        <f>D3</f>
        <v>0</v>
      </c>
      <c r="C41" s="69">
        <f>MAX($G$6:$G$7)*B41</f>
        <v>0</v>
      </c>
      <c r="D41" s="68">
        <v>2</v>
      </c>
      <c r="E41" s="168">
        <f>(B41-(16/12*2))*12/(D41-1)</f>
        <v>-32</v>
      </c>
      <c r="F41" s="139">
        <f>D41*$A$39</f>
        <v>2360</v>
      </c>
      <c r="G41" s="139" t="str">
        <f>IF(F41&gt;=C41,"OK","FAIL")</f>
        <v>OK</v>
      </c>
      <c r="H41" s="7"/>
    </row>
    <row r="42" spans="1:10" ht="18" customHeight="1" x14ac:dyDescent="0.2">
      <c r="A42" s="7"/>
      <c r="B42" s="67"/>
      <c r="C42" s="67"/>
      <c r="D42" s="7"/>
      <c r="E42" s="281"/>
      <c r="F42" s="281"/>
      <c r="G42" s="7"/>
      <c r="H42" s="7"/>
    </row>
    <row r="43" spans="1:10" ht="18" customHeight="1" x14ac:dyDescent="0.2">
      <c r="A43" s="8"/>
      <c r="B43" s="48"/>
      <c r="C43" s="48"/>
      <c r="D43" s="7"/>
      <c r="E43" s="31"/>
      <c r="F43" s="43"/>
      <c r="G43" s="7"/>
      <c r="H43" s="7"/>
    </row>
    <row r="44" spans="1:10" ht="18" customHeight="1" x14ac:dyDescent="0.2">
      <c r="A44" s="31"/>
      <c r="B44" s="145"/>
      <c r="C44" s="145"/>
      <c r="D44" s="7"/>
      <c r="E44" s="31"/>
      <c r="F44" s="145"/>
      <c r="G44" s="7"/>
      <c r="H44" s="7"/>
    </row>
    <row r="45" spans="1:10" ht="18" customHeight="1" x14ac:dyDescent="0.2">
      <c r="A45" s="31"/>
      <c r="B45" s="145"/>
      <c r="C45" s="145"/>
      <c r="D45" s="7"/>
      <c r="E45" s="145"/>
      <c r="F45" s="44"/>
      <c r="G45" s="7"/>
      <c r="H45" s="7"/>
    </row>
    <row r="46" spans="1:10" ht="18" customHeight="1" x14ac:dyDescent="0.2">
      <c r="A46" s="31"/>
      <c r="B46" s="36"/>
      <c r="C46" s="36"/>
      <c r="D46" s="7"/>
      <c r="E46" s="31"/>
      <c r="F46" s="45"/>
      <c r="G46" s="35"/>
      <c r="H46" s="145"/>
    </row>
    <row r="47" spans="1:10" ht="18" customHeight="1" x14ac:dyDescent="0.2">
      <c r="A47" s="31"/>
      <c r="B47" s="145"/>
      <c r="C47" s="36"/>
      <c r="D47" s="7"/>
      <c r="E47" s="31"/>
      <c r="F47" s="45"/>
      <c r="G47" s="35"/>
      <c r="H47" s="145"/>
    </row>
    <row r="48" spans="1:10" ht="18" customHeight="1" x14ac:dyDescent="0.2">
      <c r="A48" s="31"/>
      <c r="B48" s="36"/>
      <c r="C48" s="36"/>
      <c r="D48" s="36"/>
      <c r="E48" s="7"/>
      <c r="F48" s="7"/>
      <c r="G48" s="7"/>
      <c r="H48" s="7"/>
    </row>
    <row r="49" spans="1:8" ht="18" customHeight="1" x14ac:dyDescent="0.2">
      <c r="A49" s="31"/>
      <c r="B49" s="145"/>
      <c r="C49" s="7"/>
      <c r="D49" s="7"/>
      <c r="E49" s="7"/>
      <c r="F49" s="7"/>
      <c r="G49" s="7"/>
      <c r="H49" s="7"/>
    </row>
    <row r="50" spans="1:8" ht="18" customHeight="1" x14ac:dyDescent="0.25">
      <c r="A50" s="46"/>
      <c r="B50" s="48"/>
      <c r="C50" s="48"/>
      <c r="D50" s="7"/>
      <c r="E50" s="7"/>
      <c r="F50" s="7"/>
      <c r="G50" s="7"/>
      <c r="H50" s="7"/>
    </row>
    <row r="51" spans="1:8" ht="18" customHeight="1" x14ac:dyDescent="0.2">
      <c r="A51" s="36"/>
      <c r="B51" s="36"/>
      <c r="C51" s="36"/>
      <c r="D51" s="7"/>
      <c r="E51" s="31"/>
      <c r="F51" s="146"/>
      <c r="G51" s="7"/>
      <c r="H51" s="7"/>
    </row>
    <row r="52" spans="1:8" ht="18" customHeight="1" x14ac:dyDescent="0.2">
      <c r="A52" s="36"/>
      <c r="B52" s="36"/>
      <c r="C52" s="36"/>
      <c r="D52" s="7"/>
      <c r="E52" s="31"/>
      <c r="F52" s="268"/>
      <c r="G52" s="268"/>
      <c r="H52" s="268"/>
    </row>
    <row r="53" spans="1:8" ht="18" customHeight="1" x14ac:dyDescent="0.2">
      <c r="A53" s="36"/>
      <c r="B53" s="36"/>
      <c r="C53" s="36"/>
      <c r="D53" s="7"/>
      <c r="E53" s="145"/>
      <c r="F53" s="7"/>
      <c r="G53" s="7"/>
      <c r="H53" s="7"/>
    </row>
    <row r="54" spans="1:8" ht="18" customHeight="1" x14ac:dyDescent="0.2">
      <c r="A54" s="36"/>
      <c r="B54" s="36"/>
      <c r="C54" s="36"/>
      <c r="D54" s="7"/>
      <c r="E54" s="7"/>
      <c r="F54" s="7"/>
      <c r="G54" s="7"/>
      <c r="H54" s="7"/>
    </row>
    <row r="55" spans="1:8" ht="18" customHeight="1" x14ac:dyDescent="0.25">
      <c r="A55" s="46"/>
      <c r="B55" s="48"/>
      <c r="C55" s="48"/>
      <c r="D55" s="7"/>
      <c r="E55" s="7"/>
      <c r="F55" s="7"/>
      <c r="G55" s="7"/>
      <c r="H55" s="7"/>
    </row>
    <row r="56" spans="1:8" ht="18" customHeight="1" x14ac:dyDescent="0.2">
      <c r="A56" s="31"/>
      <c r="B56" s="36"/>
      <c r="C56" s="36"/>
      <c r="D56" s="7"/>
      <c r="E56" s="31"/>
      <c r="F56" s="146"/>
      <c r="G56" s="7"/>
      <c r="H56" s="7"/>
    </row>
    <row r="57" spans="1:8" ht="18" customHeight="1" x14ac:dyDescent="0.2">
      <c r="A57" s="31"/>
      <c r="B57" s="36"/>
      <c r="C57" s="36"/>
      <c r="D57" s="7"/>
      <c r="E57" s="31"/>
      <c r="F57" s="47"/>
      <c r="G57" s="7"/>
      <c r="H57" s="7"/>
    </row>
    <row r="58" spans="1:8" ht="18" customHeight="1" x14ac:dyDescent="0.2">
      <c r="A58" s="31"/>
      <c r="B58" s="41"/>
      <c r="C58" s="41"/>
      <c r="D58" s="7"/>
      <c r="E58" s="145"/>
      <c r="F58" s="7"/>
      <c r="G58" s="7"/>
      <c r="H58" s="7"/>
    </row>
    <row r="59" spans="1:8" ht="18" customHeight="1" x14ac:dyDescent="0.25">
      <c r="A59" s="140"/>
    </row>
  </sheetData>
  <mergeCells count="11">
    <mergeCell ref="E42:F42"/>
    <mergeCell ref="F52:H52"/>
    <mergeCell ref="A37:G37"/>
    <mergeCell ref="F38:G38"/>
    <mergeCell ref="B2:C2"/>
    <mergeCell ref="F12:H12"/>
    <mergeCell ref="H18:K18"/>
    <mergeCell ref="J19:K19"/>
    <mergeCell ref="E23:F23"/>
    <mergeCell ref="A28:G28"/>
    <mergeCell ref="F29:G29"/>
  </mergeCells>
  <conditionalFormatting sqref="G46">
    <cfRule type="cellIs" dxfId="53" priority="17" stopIfTrue="1" operator="greaterThan">
      <formula>$G$7</formula>
    </cfRule>
  </conditionalFormatting>
  <conditionalFormatting sqref="G47">
    <cfRule type="cellIs" dxfId="52" priority="16" stopIfTrue="1" operator="greaterThan">
      <formula>$G$6</formula>
    </cfRule>
  </conditionalFormatting>
  <conditionalFormatting sqref="B58:C58 B18:C18">
    <cfRule type="cellIs" dxfId="51" priority="15" stopIfTrue="1" operator="greaterThan">
      <formula>$B$13</formula>
    </cfRule>
  </conditionalFormatting>
  <conditionalFormatting sqref="B13">
    <cfRule type="cellIs" dxfId="50" priority="14" stopIfTrue="1" operator="greaterThan">
      <formula>$B$18</formula>
    </cfRule>
  </conditionalFormatting>
  <conditionalFormatting sqref="C13">
    <cfRule type="cellIs" dxfId="49" priority="13" stopIfTrue="1" operator="greaterThan">
      <formula>$C$18</formula>
    </cfRule>
  </conditionalFormatting>
  <conditionalFormatting sqref="B23:D23">
    <cfRule type="cellIs" dxfId="48" priority="12" stopIfTrue="1" operator="greaterThan">
      <formula>$B$13</formula>
    </cfRule>
  </conditionalFormatting>
  <conditionalFormatting sqref="B8">
    <cfRule type="cellIs" dxfId="47" priority="11" stopIfTrue="1" operator="greaterThan">
      <formula>$B$18</formula>
    </cfRule>
  </conditionalFormatting>
  <conditionalFormatting sqref="C8">
    <cfRule type="cellIs" dxfId="46" priority="10" stopIfTrue="1" operator="greaterThan">
      <formula>$B$18</formula>
    </cfRule>
  </conditionalFormatting>
  <conditionalFormatting sqref="G6">
    <cfRule type="cellIs" dxfId="45" priority="9" operator="greaterThan">
      <formula>$G$7</formula>
    </cfRule>
  </conditionalFormatting>
  <conditionalFormatting sqref="G7">
    <cfRule type="cellIs" dxfId="44" priority="8" operator="greaterThan">
      <formula>$G$6</formula>
    </cfRule>
  </conditionalFormatting>
  <conditionalFormatting sqref="D18">
    <cfRule type="cellIs" dxfId="43" priority="7" stopIfTrue="1" operator="greaterThan">
      <formula>$B$13</formula>
    </cfRule>
  </conditionalFormatting>
  <conditionalFormatting sqref="D13">
    <cfRule type="cellIs" dxfId="42" priority="6" stopIfTrue="1" operator="greaterThan">
      <formula>$C$18</formula>
    </cfRule>
  </conditionalFormatting>
  <conditionalFormatting sqref="D8">
    <cfRule type="cellIs" dxfId="41" priority="5" stopIfTrue="1" operator="greaterThan">
      <formula>$B$18</formula>
    </cfRule>
  </conditionalFormatting>
  <conditionalFormatting sqref="G32">
    <cfRule type="cellIs" dxfId="40" priority="1" stopIfTrue="1" operator="greaterThan">
      <formula>$G$7</formula>
    </cfRule>
  </conditionalFormatting>
  <pageMargins left="0.75" right="0.75" top="1.74" bottom="1" header="0.5" footer="0.5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opLeftCell="A19" zoomScale="85" zoomScaleNormal="85" zoomScaleSheetLayoutView="90" workbookViewId="0">
      <selection activeCell="L45" sqref="L45"/>
    </sheetView>
  </sheetViews>
  <sheetFormatPr defaultRowHeight="18" customHeight="1" x14ac:dyDescent="0.2"/>
  <cols>
    <col min="1" max="1" width="13.5703125" customWidth="1"/>
    <col min="2" max="2" width="12.42578125" customWidth="1"/>
    <col min="3" max="3" width="12.28515625" customWidth="1"/>
    <col min="4" max="4" width="12.42578125" customWidth="1"/>
    <col min="5" max="5" width="9.85546875" customWidth="1"/>
    <col min="6" max="6" width="7.28515625" customWidth="1"/>
    <col min="7" max="7" width="10.28515625" customWidth="1"/>
    <col min="8" max="8" width="13.85546875" customWidth="1"/>
    <col min="11" max="11" width="11" bestFit="1" customWidth="1"/>
  </cols>
  <sheetData>
    <row r="1" spans="1:8" ht="18" customHeight="1" x14ac:dyDescent="0.25">
      <c r="A1" s="126" t="s">
        <v>63</v>
      </c>
      <c r="C1" s="127">
        <v>1</v>
      </c>
    </row>
    <row r="2" spans="1:8" ht="18" customHeight="1" x14ac:dyDescent="0.2">
      <c r="B2" s="267" t="s">
        <v>56</v>
      </c>
      <c r="C2" s="267"/>
      <c r="F2" s="5" t="s">
        <v>61</v>
      </c>
    </row>
    <row r="3" spans="1:8" ht="18" customHeight="1" x14ac:dyDescent="0.3">
      <c r="A3" s="33" t="s">
        <v>51</v>
      </c>
      <c r="B3" s="74">
        <v>4</v>
      </c>
      <c r="C3" s="74">
        <v>4</v>
      </c>
      <c r="D3" s="74">
        <v>0</v>
      </c>
      <c r="E3" s="32" t="s">
        <v>54</v>
      </c>
      <c r="F3" s="66">
        <f>'wind-siesmic'!$B$47</f>
        <v>15.274999999999999</v>
      </c>
    </row>
    <row r="4" spans="1:8" ht="18" customHeight="1" x14ac:dyDescent="0.3">
      <c r="A4" s="32" t="s">
        <v>50</v>
      </c>
      <c r="B4" s="65">
        <v>8</v>
      </c>
      <c r="C4" s="65">
        <v>8</v>
      </c>
      <c r="D4" s="65">
        <v>0</v>
      </c>
      <c r="E4" s="32" t="s">
        <v>55</v>
      </c>
      <c r="F4" s="64">
        <f>'wind-siesmic'!$G$41</f>
        <v>15</v>
      </c>
    </row>
    <row r="5" spans="1:8" ht="18" customHeight="1" x14ac:dyDescent="0.3">
      <c r="A5" s="32" t="s">
        <v>74</v>
      </c>
      <c r="B5" s="63">
        <f>B3*(2)</f>
        <v>8</v>
      </c>
      <c r="C5" s="63">
        <f>C3*(2)</f>
        <v>8</v>
      </c>
      <c r="D5" s="63">
        <v>0</v>
      </c>
      <c r="E5" s="54" t="s">
        <v>62</v>
      </c>
      <c r="F5" s="62">
        <f>SUM(B3:D3)</f>
        <v>8</v>
      </c>
    </row>
    <row r="6" spans="1:8" ht="18" customHeight="1" x14ac:dyDescent="0.3">
      <c r="A6" s="32" t="s">
        <v>52</v>
      </c>
      <c r="B6" s="29">
        <f>B5*F3</f>
        <v>122.19999999999999</v>
      </c>
      <c r="C6" s="29">
        <f>C5*F3</f>
        <v>122.19999999999999</v>
      </c>
      <c r="D6" s="29">
        <f>D5*F3</f>
        <v>0</v>
      </c>
      <c r="E6" s="32" t="s">
        <v>48</v>
      </c>
      <c r="F6" s="223">
        <f>'wind-siesmic'!$F$78</f>
        <v>1009.6649173557694</v>
      </c>
      <c r="G6" s="222">
        <f>F6/F5</f>
        <v>126.20811466947117</v>
      </c>
      <c r="H6" s="30" t="s">
        <v>166</v>
      </c>
    </row>
    <row r="7" spans="1:8" ht="18" customHeight="1" x14ac:dyDescent="0.3">
      <c r="A7" s="32" t="s">
        <v>53</v>
      </c>
      <c r="B7" s="29">
        <f>B3*B4*F4</f>
        <v>480</v>
      </c>
      <c r="C7" s="29">
        <f>C3*C4*F4</f>
        <v>480</v>
      </c>
      <c r="D7" s="29">
        <f>D3*D4*F4</f>
        <v>0</v>
      </c>
      <c r="E7" s="32" t="s">
        <v>49</v>
      </c>
      <c r="F7" s="223">
        <f>'wind-siesmic'!$H$78</f>
        <v>360.5972727272727</v>
      </c>
      <c r="G7" s="222">
        <f>F7/F5</f>
        <v>45.074659090909087</v>
      </c>
    </row>
    <row r="8" spans="1:8" ht="18" customHeight="1" x14ac:dyDescent="0.3">
      <c r="A8" s="32" t="s">
        <v>57</v>
      </c>
      <c r="B8" s="60">
        <f>SUM(B6:B7)</f>
        <v>602.20000000000005</v>
      </c>
      <c r="C8" s="60">
        <f>SUM(C6:C7)</f>
        <v>602.20000000000005</v>
      </c>
      <c r="D8" s="60">
        <f>SUM(D6:D7)</f>
        <v>0</v>
      </c>
      <c r="E8" s="8" t="s">
        <v>2</v>
      </c>
      <c r="F8" s="11">
        <f>'wind-siesmic'!$B$30</f>
        <v>2.0190000000000001</v>
      </c>
    </row>
    <row r="9" spans="1:8" ht="18" customHeight="1" x14ac:dyDescent="0.2">
      <c r="A9" s="32"/>
      <c r="B9" s="58"/>
      <c r="C9" s="7"/>
      <c r="D9" s="7"/>
      <c r="E9" s="7"/>
      <c r="F9" s="7"/>
    </row>
    <row r="10" spans="1:8" ht="18" customHeight="1" x14ac:dyDescent="0.25">
      <c r="A10" s="55" t="s">
        <v>44</v>
      </c>
      <c r="B10" s="34">
        <f>B3</f>
        <v>4</v>
      </c>
      <c r="C10" s="34">
        <f>C3</f>
        <v>4</v>
      </c>
      <c r="D10" s="34">
        <f>D3</f>
        <v>0</v>
      </c>
    </row>
    <row r="11" spans="1:8" ht="18" customHeight="1" x14ac:dyDescent="0.3">
      <c r="A11" s="32" t="s">
        <v>45</v>
      </c>
      <c r="B11" s="29">
        <f>G6*B4*B10</f>
        <v>4038.6596694230775</v>
      </c>
      <c r="C11" s="29">
        <f>G6*C4*C10</f>
        <v>4038.6596694230775</v>
      </c>
      <c r="D11" s="29">
        <f>G6*D4*D10</f>
        <v>0</v>
      </c>
      <c r="E11" s="32" t="s">
        <v>45</v>
      </c>
      <c r="F11" s="56" t="s">
        <v>58</v>
      </c>
      <c r="H11" s="7"/>
    </row>
    <row r="12" spans="1:8" ht="18" customHeight="1" x14ac:dyDescent="0.3">
      <c r="A12" s="31" t="s">
        <v>46</v>
      </c>
      <c r="B12" s="29">
        <f>(0.6*B8-0.7*(0.2*F8*B8))*(B3/2)</f>
        <v>382.20429599999994</v>
      </c>
      <c r="C12" s="29">
        <f>(0.6*C8-0.7*(0.2*F8*C8))*(C3/2)</f>
        <v>382.20429599999994</v>
      </c>
      <c r="D12" s="29">
        <f>(0.6*D8-0.7*(0.2*F8*D8))*(D3/2)</f>
        <v>0</v>
      </c>
      <c r="E12" s="31" t="s">
        <v>46</v>
      </c>
      <c r="F12" s="268" t="s">
        <v>71</v>
      </c>
      <c r="G12" s="268"/>
      <c r="H12" s="268"/>
    </row>
    <row r="13" spans="1:8" ht="18" customHeight="1" x14ac:dyDescent="0.2">
      <c r="A13" s="32" t="s">
        <v>64</v>
      </c>
      <c r="B13" s="72">
        <f>B11-B12</f>
        <v>3656.4553734230776</v>
      </c>
      <c r="C13" s="72">
        <f>C11-C12</f>
        <v>3656.4553734230776</v>
      </c>
      <c r="D13" s="72">
        <f>D11-D12</f>
        <v>0</v>
      </c>
      <c r="E13" s="54" t="str">
        <f>IF(C13&gt;C18,"governs","--")</f>
        <v>governs</v>
      </c>
    </row>
    <row r="15" spans="1:8" ht="18" customHeight="1" x14ac:dyDescent="0.25">
      <c r="A15" s="55" t="s">
        <v>47</v>
      </c>
      <c r="B15" s="34">
        <f>B3</f>
        <v>4</v>
      </c>
      <c r="C15" s="34">
        <f>C3</f>
        <v>4</v>
      </c>
      <c r="D15" s="34">
        <f>D3</f>
        <v>0</v>
      </c>
    </row>
    <row r="16" spans="1:8" ht="18" customHeight="1" x14ac:dyDescent="0.3">
      <c r="A16" s="32" t="s">
        <v>45</v>
      </c>
      <c r="B16" s="29">
        <f>G7*B4*B15</f>
        <v>1442.3890909090908</v>
      </c>
      <c r="C16" s="29">
        <f>C15*G7*C4</f>
        <v>1442.3890909090908</v>
      </c>
      <c r="D16" s="29">
        <f>D15*G7*D4</f>
        <v>0</v>
      </c>
      <c r="E16" s="32" t="s">
        <v>45</v>
      </c>
      <c r="F16" s="57" t="s">
        <v>59</v>
      </c>
    </row>
    <row r="17" spans="1:11" ht="18" customHeight="1" x14ac:dyDescent="0.3">
      <c r="A17" s="32" t="s">
        <v>46</v>
      </c>
      <c r="B17" s="29">
        <f>0.6*B8*(B3/2)</f>
        <v>722.64</v>
      </c>
      <c r="C17" s="29">
        <f>0.6*C8*(C3/2)</f>
        <v>722.64</v>
      </c>
      <c r="D17" s="29">
        <f>0.6*D8*(D3/2)</f>
        <v>0</v>
      </c>
      <c r="E17" s="32" t="s">
        <v>46</v>
      </c>
      <c r="F17" s="30" t="s">
        <v>60</v>
      </c>
      <c r="H17" s="5"/>
      <c r="I17" s="5"/>
      <c r="J17" s="5"/>
      <c r="K17" s="5"/>
    </row>
    <row r="18" spans="1:11" ht="18" customHeight="1" x14ac:dyDescent="0.2">
      <c r="A18" s="32" t="s">
        <v>64</v>
      </c>
      <c r="B18" s="72">
        <f>B16-B17</f>
        <v>719.7490909090908</v>
      </c>
      <c r="C18" s="72">
        <f>C16-C17</f>
        <v>719.7490909090908</v>
      </c>
      <c r="D18" s="72">
        <f>D16-D17</f>
        <v>0</v>
      </c>
      <c r="E18" s="58" t="str">
        <f>IF(C18&gt;C13,"governs","--")</f>
        <v>--</v>
      </c>
      <c r="H18" s="269" t="s">
        <v>157</v>
      </c>
      <c r="I18" s="270"/>
      <c r="J18" s="270"/>
      <c r="K18" s="271"/>
    </row>
    <row r="19" spans="1:11" ht="18" customHeight="1" x14ac:dyDescent="0.25">
      <c r="A19" s="55"/>
      <c r="H19" s="104" t="s">
        <v>163</v>
      </c>
      <c r="I19" s="104" t="s">
        <v>161</v>
      </c>
      <c r="J19" s="272" t="s">
        <v>160</v>
      </c>
      <c r="K19" s="273"/>
    </row>
    <row r="20" spans="1:11" ht="18" customHeight="1" x14ac:dyDescent="0.25">
      <c r="A20" s="55" t="s">
        <v>72</v>
      </c>
      <c r="B20" s="42"/>
      <c r="C20" s="42"/>
      <c r="D20" s="42"/>
      <c r="E20" s="58"/>
      <c r="F20" s="42"/>
      <c r="H20" s="144" t="s">
        <v>162</v>
      </c>
      <c r="I20" s="144" t="s">
        <v>164</v>
      </c>
      <c r="J20" s="144" t="s">
        <v>158</v>
      </c>
      <c r="K20" s="71" t="s">
        <v>159</v>
      </c>
    </row>
    <row r="21" spans="1:11" ht="18" customHeight="1" x14ac:dyDescent="0.2">
      <c r="A21" s="32" t="s">
        <v>64</v>
      </c>
      <c r="B21" s="61">
        <f>IF(B18&gt;B13,B18,B13)</f>
        <v>3656.4553734230776</v>
      </c>
      <c r="C21" s="61">
        <f>IF(C18&gt;C13,C18,C13)</f>
        <v>3656.4553734230776</v>
      </c>
      <c r="D21" s="61">
        <f>IF(D18&gt;D13,D18,D13)</f>
        <v>0</v>
      </c>
      <c r="E21" s="165" t="s">
        <v>153</v>
      </c>
      <c r="H21" s="171">
        <v>1500</v>
      </c>
      <c r="I21" s="172">
        <f>H21*0.75</f>
        <v>1125</v>
      </c>
      <c r="J21" s="173" t="s">
        <v>80</v>
      </c>
      <c r="K21" s="174" t="s">
        <v>81</v>
      </c>
    </row>
    <row r="22" spans="1:11" ht="18" customHeight="1" x14ac:dyDescent="0.3">
      <c r="A22" s="33" t="s">
        <v>51</v>
      </c>
      <c r="B22" s="2">
        <f>B3-0.833</f>
        <v>3.1669999999999998</v>
      </c>
      <c r="C22" s="2">
        <f t="shared" ref="C22:D22" si="0">C3-0.833</f>
        <v>3.1669999999999998</v>
      </c>
      <c r="D22" s="2">
        <f t="shared" si="0"/>
        <v>-0.83299999999999996</v>
      </c>
      <c r="E22" s="38"/>
      <c r="F22" s="38"/>
      <c r="H22" s="170">
        <v>3610</v>
      </c>
      <c r="I22" s="172">
        <f t="shared" ref="I22:I24" si="1">H22*0.75</f>
        <v>2707.5</v>
      </c>
      <c r="J22" s="175" t="s">
        <v>78</v>
      </c>
      <c r="K22" s="138" t="s">
        <v>81</v>
      </c>
    </row>
    <row r="23" spans="1:11" ht="18" customHeight="1" x14ac:dyDescent="0.2">
      <c r="A23" s="53" t="s">
        <v>73</v>
      </c>
      <c r="B23" s="73">
        <f>B21/B22</f>
        <v>1154.5485864929201</v>
      </c>
      <c r="C23" s="73">
        <f t="shared" ref="C23:D23" si="2">C21/C22</f>
        <v>1154.5485864929201</v>
      </c>
      <c r="D23" s="73">
        <f t="shared" si="2"/>
        <v>0</v>
      </c>
      <c r="E23" s="274"/>
      <c r="F23" s="274"/>
      <c r="H23" s="170">
        <v>4670</v>
      </c>
      <c r="I23" s="172">
        <f t="shared" si="1"/>
        <v>3502.5</v>
      </c>
      <c r="J23" s="175" t="s">
        <v>79</v>
      </c>
      <c r="K23" s="138" t="s">
        <v>82</v>
      </c>
    </row>
    <row r="24" spans="1:11" ht="18" customHeight="1" x14ac:dyDescent="0.2">
      <c r="A24" s="39"/>
      <c r="B24" s="70" t="str">
        <f>IF(B23&lt;=0,"NONE",IF(B23&lt;=I21,J21,IF(B23&lt;=I22,J22,IF(B23&lt;=I23,J23,IF(B23&lt;=I24,J24)))))</f>
        <v>HTT4</v>
      </c>
      <c r="C24" s="70" t="str">
        <f>IF(C23&lt;=0,"NONE",IF(C23&lt;=$I$21,$J$21,IF(C23&lt;=$I$22,$J$22,IF(C23&lt;=$I$23,$J$23,IF(C23&lt;=$I$24,$J$24)))))</f>
        <v>HTT4</v>
      </c>
      <c r="D24" s="70" t="str">
        <f>IF(D23&lt;=0,"NONE",IF(D23&lt;=$I$21,$J$21,IF(D23&lt;=$I$22,$J$22,IF(D23&lt;=$I$23,$J$23,IF(D23&lt;=$I$24,$J$24)))))</f>
        <v>NONE</v>
      </c>
      <c r="E24" s="53"/>
      <c r="F24" s="37"/>
      <c r="H24" s="175">
        <v>9230</v>
      </c>
      <c r="I24" s="172">
        <f t="shared" si="1"/>
        <v>6922.5</v>
      </c>
      <c r="J24" s="175" t="s">
        <v>167</v>
      </c>
      <c r="K24" s="104" t="s">
        <v>126</v>
      </c>
    </row>
    <row r="25" spans="1:11" ht="18" customHeight="1" x14ac:dyDescent="0.2">
      <c r="E25" s="53"/>
      <c r="F25" s="59"/>
    </row>
    <row r="26" spans="1:11" ht="18" customHeight="1" x14ac:dyDescent="0.2">
      <c r="A26" s="280" t="s">
        <v>195</v>
      </c>
      <c r="B26" s="280"/>
      <c r="C26" s="280"/>
      <c r="D26" s="280"/>
      <c r="E26" s="280"/>
      <c r="F26" s="280"/>
      <c r="G26" s="280"/>
      <c r="I26" s="7"/>
      <c r="J26" s="7"/>
    </row>
    <row r="27" spans="1:11" ht="18" customHeight="1" x14ac:dyDescent="0.2">
      <c r="A27" s="216" t="s">
        <v>154</v>
      </c>
      <c r="B27" s="214" t="s">
        <v>197</v>
      </c>
      <c r="C27" s="215" t="s">
        <v>196</v>
      </c>
      <c r="D27" s="214" t="s">
        <v>198</v>
      </c>
      <c r="E27" s="214" t="s">
        <v>200</v>
      </c>
      <c r="F27" s="278" t="s">
        <v>199</v>
      </c>
      <c r="G27" s="279"/>
    </row>
    <row r="28" spans="1:11" ht="18" customHeight="1" x14ac:dyDescent="0.2">
      <c r="A28" s="216" t="s">
        <v>76</v>
      </c>
      <c r="B28" s="213">
        <v>645</v>
      </c>
      <c r="C28" s="220">
        <v>13</v>
      </c>
      <c r="D28" s="69">
        <f>ROUNDUP(MAX(F6:F7)/B28,0)</f>
        <v>2</v>
      </c>
      <c r="E28" s="218" t="s">
        <v>194</v>
      </c>
      <c r="F28" s="221">
        <f>B28*D28</f>
        <v>1290</v>
      </c>
      <c r="G28" s="214" t="str">
        <f>IF(F28&gt;MAX(F6:F7),"OK","bad")</f>
        <v>OK</v>
      </c>
      <c r="H28" s="148"/>
    </row>
    <row r="29" spans="1:11" ht="18" customHeight="1" x14ac:dyDescent="0.2">
      <c r="A29" s="216"/>
      <c r="B29" s="6"/>
      <c r="C29" s="68"/>
      <c r="D29" s="69"/>
      <c r="E29" s="169"/>
      <c r="F29" s="217"/>
      <c r="G29" s="217"/>
    </row>
    <row r="30" spans="1:11" ht="18" customHeight="1" x14ac:dyDescent="0.2">
      <c r="A30" s="219" t="s">
        <v>210</v>
      </c>
      <c r="B30" s="212"/>
      <c r="C30" s="212"/>
      <c r="D30" s="212"/>
      <c r="E30" s="212"/>
      <c r="F30" s="212"/>
      <c r="G30" s="40"/>
    </row>
    <row r="31" spans="1:11" ht="18" customHeight="1" x14ac:dyDescent="0.2">
      <c r="G31" s="38"/>
      <c r="H31" s="38"/>
      <c r="J31" s="142"/>
    </row>
    <row r="32" spans="1:11" ht="18" customHeight="1" x14ac:dyDescent="0.2">
      <c r="G32" s="38"/>
      <c r="H32" s="51"/>
    </row>
    <row r="33" spans="1:8" ht="18" customHeight="1" x14ac:dyDescent="0.2">
      <c r="G33" s="38"/>
      <c r="H33" s="38"/>
    </row>
    <row r="34" spans="1:8" ht="18" customHeight="1" x14ac:dyDescent="0.2">
      <c r="H34" s="38"/>
    </row>
    <row r="35" spans="1:8" ht="18" customHeight="1" x14ac:dyDescent="0.2">
      <c r="A35" s="275" t="s">
        <v>155</v>
      </c>
      <c r="B35" s="276"/>
      <c r="C35" s="276"/>
      <c r="D35" s="276"/>
      <c r="E35" s="276"/>
      <c r="F35" s="276"/>
      <c r="G35" s="277"/>
      <c r="H35" s="38"/>
    </row>
    <row r="36" spans="1:8" ht="18" customHeight="1" x14ac:dyDescent="0.2">
      <c r="A36" s="71" t="s">
        <v>75</v>
      </c>
      <c r="B36" s="139" t="s">
        <v>84</v>
      </c>
      <c r="C36" s="144" t="s">
        <v>88</v>
      </c>
      <c r="D36" s="166" t="s">
        <v>87</v>
      </c>
      <c r="E36" s="167" t="s">
        <v>85</v>
      </c>
      <c r="F36" s="278" t="s">
        <v>86</v>
      </c>
      <c r="G36" s="279"/>
      <c r="H36" s="38"/>
    </row>
    <row r="37" spans="1:8" ht="18" customHeight="1" x14ac:dyDescent="0.2">
      <c r="A37" s="68">
        <v>1180</v>
      </c>
      <c r="B37" s="74">
        <f>B3</f>
        <v>4</v>
      </c>
      <c r="C37" s="69">
        <f>MAX($G$6:$G$7)*B37</f>
        <v>504.83245867788469</v>
      </c>
      <c r="D37" s="68">
        <v>2</v>
      </c>
      <c r="E37" s="168">
        <f>(B37-(16/12*2))*12/(D37-1)</f>
        <v>16</v>
      </c>
      <c r="F37" s="139">
        <f>D37*$A$37</f>
        <v>2360</v>
      </c>
      <c r="G37" s="139" t="str">
        <f>IF(F37&gt;=C37,"OK","FAIL")</f>
        <v>OK</v>
      </c>
      <c r="H37" s="38"/>
    </row>
    <row r="38" spans="1:8" ht="18" customHeight="1" x14ac:dyDescent="0.2">
      <c r="A38" s="6"/>
      <c r="B38" s="74">
        <f>C3</f>
        <v>4</v>
      </c>
      <c r="C38" s="69">
        <f>MAX($G$6:$G$7)*B38</f>
        <v>504.83245867788469</v>
      </c>
      <c r="D38" s="68">
        <v>2</v>
      </c>
      <c r="E38" s="168">
        <f>(B38-(16/12*2))*12/(D38-1)</f>
        <v>16</v>
      </c>
      <c r="F38" s="139">
        <f>D38*$A$37</f>
        <v>2360</v>
      </c>
      <c r="G38" s="139" t="str">
        <f>IF(F38&gt;=C38,"OK","FAIL")</f>
        <v>OK</v>
      </c>
      <c r="H38" s="38"/>
    </row>
    <row r="39" spans="1:8" ht="18" hidden="1" customHeight="1" x14ac:dyDescent="0.2">
      <c r="A39" s="6"/>
      <c r="B39" s="74">
        <f>D3</f>
        <v>0</v>
      </c>
      <c r="C39" s="69">
        <f>MAX($G$6:$G$7)*B39</f>
        <v>0</v>
      </c>
      <c r="D39" s="68">
        <v>0</v>
      </c>
      <c r="E39" s="168">
        <f>(B39-(16/12*2))*12/(D39-1)</f>
        <v>32</v>
      </c>
      <c r="F39" s="139">
        <f>D39*$A$37</f>
        <v>0</v>
      </c>
      <c r="G39" s="139" t="str">
        <f>IF(F39&gt;=C39,"OK","FAIL")</f>
        <v>OK</v>
      </c>
      <c r="H39" s="7"/>
    </row>
    <row r="40" spans="1:8" ht="18" customHeight="1" x14ac:dyDescent="0.2">
      <c r="A40" s="7"/>
      <c r="B40" s="67"/>
      <c r="C40" s="67"/>
      <c r="D40" s="7"/>
      <c r="E40" s="281"/>
      <c r="F40" s="281"/>
      <c r="G40" s="7"/>
      <c r="H40" s="7"/>
    </row>
    <row r="41" spans="1:8" ht="18" customHeight="1" x14ac:dyDescent="0.2">
      <c r="A41" s="8"/>
      <c r="B41" s="48"/>
      <c r="C41" s="48"/>
      <c r="D41" s="7"/>
      <c r="E41" s="31"/>
      <c r="F41" s="43"/>
      <c r="G41" s="7"/>
      <c r="H41" s="7"/>
    </row>
    <row r="42" spans="1:8" ht="18" customHeight="1" x14ac:dyDescent="0.2">
      <c r="A42" s="31"/>
      <c r="B42" s="58"/>
      <c r="C42" s="58"/>
      <c r="D42" s="7"/>
      <c r="E42" s="31"/>
      <c r="F42" s="58"/>
      <c r="G42" s="7"/>
      <c r="H42" s="7"/>
    </row>
    <row r="43" spans="1:8" ht="18" customHeight="1" x14ac:dyDescent="0.2">
      <c r="A43" s="31"/>
      <c r="B43" s="58"/>
      <c r="C43" s="58"/>
      <c r="D43" s="7"/>
      <c r="E43" s="58"/>
      <c r="F43" s="44"/>
      <c r="G43" s="7"/>
      <c r="H43" s="7"/>
    </row>
    <row r="44" spans="1:8" ht="18" customHeight="1" x14ac:dyDescent="0.2">
      <c r="A44" s="31"/>
      <c r="B44" s="36"/>
      <c r="C44" s="36"/>
      <c r="D44" s="7"/>
      <c r="E44" s="31"/>
      <c r="F44" s="45"/>
      <c r="G44" s="35"/>
      <c r="H44" s="58"/>
    </row>
    <row r="45" spans="1:8" ht="18" customHeight="1" x14ac:dyDescent="0.2">
      <c r="A45" s="31"/>
      <c r="B45" s="58"/>
      <c r="C45" s="36"/>
      <c r="D45" s="7"/>
      <c r="E45" s="31"/>
      <c r="F45" s="45"/>
      <c r="G45" s="35"/>
      <c r="H45" s="58"/>
    </row>
    <row r="46" spans="1:8" ht="18" customHeight="1" x14ac:dyDescent="0.2">
      <c r="A46" s="31"/>
      <c r="B46" s="36"/>
      <c r="C46" s="36"/>
      <c r="D46" s="36"/>
      <c r="E46" s="7"/>
      <c r="F46" s="7"/>
      <c r="G46" s="7"/>
      <c r="H46" s="7"/>
    </row>
    <row r="47" spans="1:8" ht="18" customHeight="1" x14ac:dyDescent="0.2">
      <c r="A47" s="31"/>
      <c r="B47" s="58"/>
      <c r="C47" s="7"/>
      <c r="D47" s="7"/>
      <c r="E47" s="7"/>
      <c r="F47" s="7"/>
      <c r="G47" s="7"/>
      <c r="H47" s="7"/>
    </row>
    <row r="48" spans="1:8" ht="18" customHeight="1" x14ac:dyDescent="0.25">
      <c r="A48" s="46"/>
      <c r="B48" s="48"/>
      <c r="C48" s="48"/>
      <c r="D48" s="7"/>
      <c r="E48" s="7"/>
      <c r="F48" s="7"/>
      <c r="G48" s="7"/>
      <c r="H48" s="7"/>
    </row>
    <row r="49" spans="1:8" ht="18" customHeight="1" x14ac:dyDescent="0.2">
      <c r="A49" s="36"/>
      <c r="B49" s="36"/>
      <c r="C49" s="36"/>
      <c r="D49" s="7"/>
      <c r="E49" s="31"/>
      <c r="F49" s="56"/>
      <c r="G49" s="7"/>
      <c r="H49" s="7"/>
    </row>
    <row r="50" spans="1:8" ht="18" customHeight="1" x14ac:dyDescent="0.2">
      <c r="A50" s="36"/>
      <c r="B50" s="36"/>
      <c r="C50" s="36"/>
      <c r="D50" s="7"/>
      <c r="E50" s="31"/>
      <c r="F50" s="268"/>
      <c r="G50" s="268"/>
      <c r="H50" s="268"/>
    </row>
    <row r="51" spans="1:8" ht="18" customHeight="1" x14ac:dyDescent="0.2">
      <c r="A51" s="36"/>
      <c r="B51" s="36"/>
      <c r="C51" s="36"/>
      <c r="D51" s="7"/>
      <c r="E51" s="58"/>
      <c r="F51" s="7"/>
      <c r="G51" s="7"/>
      <c r="H51" s="7"/>
    </row>
    <row r="52" spans="1:8" ht="18" customHeight="1" x14ac:dyDescent="0.2">
      <c r="A52" s="36"/>
      <c r="B52" s="36"/>
      <c r="C52" s="36"/>
      <c r="D52" s="7"/>
      <c r="E52" s="7"/>
      <c r="F52" s="7"/>
      <c r="G52" s="7"/>
      <c r="H52" s="7"/>
    </row>
    <row r="53" spans="1:8" ht="18" customHeight="1" x14ac:dyDescent="0.25">
      <c r="A53" s="46"/>
      <c r="B53" s="48"/>
      <c r="C53" s="48"/>
      <c r="D53" s="7"/>
      <c r="E53" s="7"/>
      <c r="F53" s="7"/>
      <c r="G53" s="7"/>
      <c r="H53" s="7"/>
    </row>
    <row r="54" spans="1:8" ht="18" customHeight="1" x14ac:dyDescent="0.2">
      <c r="A54" s="31"/>
      <c r="B54" s="36"/>
      <c r="C54" s="36"/>
      <c r="D54" s="7"/>
      <c r="E54" s="31"/>
      <c r="F54" s="56"/>
      <c r="G54" s="7"/>
      <c r="H54" s="7"/>
    </row>
    <row r="55" spans="1:8" ht="18" customHeight="1" x14ac:dyDescent="0.2">
      <c r="A55" s="31"/>
      <c r="B55" s="36"/>
      <c r="C55" s="36"/>
      <c r="D55" s="7"/>
      <c r="E55" s="31"/>
      <c r="F55" s="47"/>
      <c r="G55" s="7"/>
      <c r="H55" s="7"/>
    </row>
    <row r="56" spans="1:8" ht="18" customHeight="1" x14ac:dyDescent="0.2">
      <c r="A56" s="31"/>
      <c r="B56" s="41"/>
      <c r="C56" s="41"/>
      <c r="D56" s="7"/>
      <c r="E56" s="58"/>
      <c r="F56" s="7"/>
      <c r="G56" s="7"/>
      <c r="H56" s="7"/>
    </row>
    <row r="57" spans="1:8" ht="18" customHeight="1" x14ac:dyDescent="0.25">
      <c r="A57" s="55"/>
    </row>
  </sheetData>
  <mergeCells count="11">
    <mergeCell ref="J19:K19"/>
    <mergeCell ref="H18:K18"/>
    <mergeCell ref="F36:G36"/>
    <mergeCell ref="A35:G35"/>
    <mergeCell ref="F27:G27"/>
    <mergeCell ref="A26:G26"/>
    <mergeCell ref="E40:F40"/>
    <mergeCell ref="F50:H50"/>
    <mergeCell ref="B2:C2"/>
    <mergeCell ref="F12:H12"/>
    <mergeCell ref="E23:F23"/>
  </mergeCells>
  <conditionalFormatting sqref="G44">
    <cfRule type="cellIs" dxfId="39" priority="23" stopIfTrue="1" operator="greaterThan">
      <formula>$G$7</formula>
    </cfRule>
  </conditionalFormatting>
  <conditionalFormatting sqref="G45">
    <cfRule type="cellIs" dxfId="38" priority="22" stopIfTrue="1" operator="greaterThan">
      <formula>$G$6</formula>
    </cfRule>
  </conditionalFormatting>
  <conditionalFormatting sqref="B56:C56 B18:C18">
    <cfRule type="cellIs" dxfId="37" priority="21" stopIfTrue="1" operator="greaterThan">
      <formula>$B$13</formula>
    </cfRule>
  </conditionalFormatting>
  <conditionalFormatting sqref="B13">
    <cfRule type="cellIs" dxfId="36" priority="20" stopIfTrue="1" operator="greaterThan">
      <formula>$B$18</formula>
    </cfRule>
  </conditionalFormatting>
  <conditionalFormatting sqref="C13">
    <cfRule type="cellIs" dxfId="35" priority="19" stopIfTrue="1" operator="greaterThan">
      <formula>$C$18</formula>
    </cfRule>
  </conditionalFormatting>
  <conditionalFormatting sqref="B23:D23">
    <cfRule type="cellIs" dxfId="34" priority="18" stopIfTrue="1" operator="greaterThan">
      <formula>$B$13</formula>
    </cfRule>
  </conditionalFormatting>
  <conditionalFormatting sqref="B8">
    <cfRule type="cellIs" dxfId="33" priority="15" stopIfTrue="1" operator="greaterThan">
      <formula>$B$18</formula>
    </cfRule>
  </conditionalFormatting>
  <conditionalFormatting sqref="C8">
    <cfRule type="cellIs" dxfId="32" priority="14" stopIfTrue="1" operator="greaterThan">
      <formula>$B$18</formula>
    </cfRule>
  </conditionalFormatting>
  <conditionalFormatting sqref="G6">
    <cfRule type="cellIs" dxfId="31" priority="13" operator="greaterThan">
      <formula>$G$7</formula>
    </cfRule>
  </conditionalFormatting>
  <conditionalFormatting sqref="G7">
    <cfRule type="cellIs" dxfId="30" priority="12" operator="greaterThan">
      <formula>$G$6</formula>
    </cfRule>
  </conditionalFormatting>
  <conditionalFormatting sqref="D18">
    <cfRule type="cellIs" dxfId="29" priority="11" stopIfTrue="1" operator="greaterThan">
      <formula>$B$13</formula>
    </cfRule>
  </conditionalFormatting>
  <conditionalFormatting sqref="D13">
    <cfRule type="cellIs" dxfId="28" priority="10" stopIfTrue="1" operator="greaterThan">
      <formula>$C$18</formula>
    </cfRule>
  </conditionalFormatting>
  <conditionalFormatting sqref="D8">
    <cfRule type="cellIs" dxfId="27" priority="9" stopIfTrue="1" operator="greaterThan">
      <formula>$B$18</formula>
    </cfRule>
  </conditionalFormatting>
  <conditionalFormatting sqref="G30">
    <cfRule type="cellIs" dxfId="26" priority="1" stopIfTrue="1" operator="greaterThan">
      <formula>$G$7</formula>
    </cfRule>
  </conditionalFormatting>
  <pageMargins left="0.75" right="0.75" top="1.74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zoomScale="85" zoomScaleNormal="85" zoomScaleSheetLayoutView="90" workbookViewId="0">
      <selection activeCell="F6" sqref="F6:F7"/>
    </sheetView>
  </sheetViews>
  <sheetFormatPr defaultRowHeight="18" customHeight="1" x14ac:dyDescent="0.2"/>
  <cols>
    <col min="1" max="1" width="13.5703125" style="143" customWidth="1"/>
    <col min="2" max="2" width="14.28515625" style="143" customWidth="1"/>
    <col min="3" max="3" width="12.28515625" style="143" customWidth="1"/>
    <col min="4" max="4" width="12.42578125" style="143" customWidth="1"/>
    <col min="5" max="5" width="10.42578125" style="143" customWidth="1"/>
    <col min="6" max="6" width="9" style="143" customWidth="1"/>
    <col min="7" max="7" width="10.28515625" style="143" customWidth="1"/>
    <col min="8" max="8" width="13.85546875" style="143" customWidth="1"/>
    <col min="9" max="10" width="9.140625" style="143"/>
    <col min="11" max="11" width="11" style="143" bestFit="1" customWidth="1"/>
    <col min="12" max="16384" width="9.140625" style="143"/>
  </cols>
  <sheetData>
    <row r="1" spans="1:13" ht="18" customHeight="1" x14ac:dyDescent="0.25">
      <c r="A1" s="126" t="s">
        <v>63</v>
      </c>
      <c r="C1" s="127">
        <v>2</v>
      </c>
    </row>
    <row r="2" spans="1:13" ht="18" customHeight="1" x14ac:dyDescent="0.2">
      <c r="B2" s="267" t="s">
        <v>56</v>
      </c>
      <c r="C2" s="267"/>
      <c r="F2" s="5" t="s">
        <v>61</v>
      </c>
    </row>
    <row r="3" spans="1:13" ht="18" customHeight="1" x14ac:dyDescent="0.3">
      <c r="A3" s="33" t="s">
        <v>51</v>
      </c>
      <c r="B3" s="74">
        <v>8</v>
      </c>
      <c r="C3" s="74">
        <v>4</v>
      </c>
      <c r="D3" s="74">
        <v>0</v>
      </c>
      <c r="E3" s="32" t="s">
        <v>54</v>
      </c>
      <c r="F3" s="66">
        <f>'wind-siesmic'!$B$47</f>
        <v>15.274999999999999</v>
      </c>
      <c r="H3"/>
      <c r="I3"/>
      <c r="J3"/>
      <c r="K3"/>
      <c r="L3"/>
      <c r="M3"/>
    </row>
    <row r="4" spans="1:13" ht="18" customHeight="1" x14ac:dyDescent="0.3">
      <c r="A4" s="32" t="s">
        <v>50</v>
      </c>
      <c r="B4" s="65">
        <v>8</v>
      </c>
      <c r="C4" s="65">
        <v>8</v>
      </c>
      <c r="D4" s="65">
        <v>0</v>
      </c>
      <c r="E4" s="32" t="s">
        <v>55</v>
      </c>
      <c r="F4" s="64">
        <f>'wind-siesmic'!$G$41</f>
        <v>15</v>
      </c>
      <c r="H4"/>
      <c r="I4"/>
      <c r="J4"/>
      <c r="K4"/>
      <c r="L4"/>
      <c r="M4"/>
    </row>
    <row r="5" spans="1:13" ht="18" customHeight="1" x14ac:dyDescent="0.3">
      <c r="A5" s="32" t="s">
        <v>74</v>
      </c>
      <c r="B5" s="63">
        <f>B3*(2)</f>
        <v>16</v>
      </c>
      <c r="C5" s="63">
        <f>C3*(2)</f>
        <v>8</v>
      </c>
      <c r="D5" s="63">
        <v>0</v>
      </c>
      <c r="E5" s="142" t="s">
        <v>62</v>
      </c>
      <c r="F5" s="62">
        <f>SUM(B3:D3)</f>
        <v>12</v>
      </c>
      <c r="H5"/>
      <c r="I5"/>
      <c r="J5"/>
      <c r="K5"/>
      <c r="L5"/>
      <c r="M5"/>
    </row>
    <row r="6" spans="1:13" ht="18" customHeight="1" x14ac:dyDescent="0.3">
      <c r="A6" s="32" t="s">
        <v>52</v>
      </c>
      <c r="B6" s="29">
        <f>B5*F3</f>
        <v>244.39999999999998</v>
      </c>
      <c r="C6" s="29">
        <f>C5*F3</f>
        <v>122.19999999999999</v>
      </c>
      <c r="D6" s="29">
        <f>D5*F3</f>
        <v>0</v>
      </c>
      <c r="E6" s="32" t="s">
        <v>48</v>
      </c>
      <c r="F6" s="223">
        <f>'wind-siesmic'!$F$79</f>
        <v>2724.0922638461539</v>
      </c>
      <c r="G6" s="222">
        <f>F6/F5</f>
        <v>227.00768865384615</v>
      </c>
      <c r="H6" s="30" t="s">
        <v>166</v>
      </c>
      <c r="I6"/>
      <c r="J6"/>
      <c r="K6"/>
      <c r="L6"/>
      <c r="M6"/>
    </row>
    <row r="7" spans="1:13" ht="18" customHeight="1" x14ac:dyDescent="0.3">
      <c r="A7" s="32" t="s">
        <v>53</v>
      </c>
      <c r="B7" s="29">
        <f>B3*B4*F4</f>
        <v>960</v>
      </c>
      <c r="C7" s="29">
        <f>C3*C4*F4</f>
        <v>480</v>
      </c>
      <c r="D7" s="29">
        <f>D3*D4*F4</f>
        <v>0</v>
      </c>
      <c r="E7" s="32" t="s">
        <v>49</v>
      </c>
      <c r="F7" s="223">
        <f>'wind-siesmic'!$H$79</f>
        <v>1282.1236363636363</v>
      </c>
      <c r="G7" s="222">
        <f>F7/F5</f>
        <v>106.84363636363635</v>
      </c>
      <c r="H7"/>
      <c r="I7"/>
      <c r="J7"/>
      <c r="K7"/>
      <c r="L7"/>
      <c r="M7"/>
    </row>
    <row r="8" spans="1:13" ht="18" customHeight="1" x14ac:dyDescent="0.3">
      <c r="A8" s="32" t="s">
        <v>57</v>
      </c>
      <c r="B8" s="60">
        <f>SUM(B6:B7)</f>
        <v>1204.4000000000001</v>
      </c>
      <c r="C8" s="60">
        <f>SUM(C6:C7)</f>
        <v>602.20000000000005</v>
      </c>
      <c r="D8" s="60">
        <f>SUM(D6:D7)</f>
        <v>0</v>
      </c>
      <c r="E8" s="8" t="s">
        <v>2</v>
      </c>
      <c r="F8" s="11">
        <f>'wind-siesmic'!$B$30</f>
        <v>2.0190000000000001</v>
      </c>
    </row>
    <row r="9" spans="1:13" ht="18" customHeight="1" x14ac:dyDescent="0.2">
      <c r="A9" s="32"/>
      <c r="B9" s="145"/>
      <c r="C9" s="7"/>
      <c r="D9" s="7"/>
      <c r="E9" s="7"/>
      <c r="F9" s="7"/>
    </row>
    <row r="10" spans="1:13" ht="18" customHeight="1" x14ac:dyDescent="0.25">
      <c r="A10" s="140" t="s">
        <v>44</v>
      </c>
      <c r="B10" s="34">
        <f>B3</f>
        <v>8</v>
      </c>
      <c r="C10" s="34">
        <f>C3</f>
        <v>4</v>
      </c>
      <c r="D10" s="34">
        <f>D3</f>
        <v>0</v>
      </c>
    </row>
    <row r="11" spans="1:13" ht="18" customHeight="1" x14ac:dyDescent="0.3">
      <c r="A11" s="32" t="s">
        <v>45</v>
      </c>
      <c r="B11" s="29">
        <f>G6*B4*B10</f>
        <v>14528.492073846153</v>
      </c>
      <c r="C11" s="29">
        <f>G6*C4*C10</f>
        <v>7264.2460369230766</v>
      </c>
      <c r="D11" s="29">
        <f>G6*D4*D10</f>
        <v>0</v>
      </c>
      <c r="E11" s="32" t="s">
        <v>45</v>
      </c>
      <c r="F11" s="146" t="s">
        <v>58</v>
      </c>
      <c r="H11" s="7"/>
    </row>
    <row r="12" spans="1:13" ht="18" customHeight="1" x14ac:dyDescent="0.3">
      <c r="A12" s="31" t="s">
        <v>46</v>
      </c>
      <c r="B12" s="29">
        <f>(0.6*B8-0.7*(0.2*F8*B8))*(B3/2)</f>
        <v>1528.8171839999998</v>
      </c>
      <c r="C12" s="29">
        <f>(0.6*C8-0.7*(0.2*F8*C8))*(C3/2)</f>
        <v>382.20429599999994</v>
      </c>
      <c r="D12" s="29">
        <f>(0.6*D8-0.7*(0.2*F8*D8))*(D3/2)</f>
        <v>0</v>
      </c>
      <c r="E12" s="31" t="s">
        <v>46</v>
      </c>
      <c r="F12" s="268" t="s">
        <v>71</v>
      </c>
      <c r="G12" s="268"/>
      <c r="H12" s="268"/>
    </row>
    <row r="13" spans="1:13" ht="18" customHeight="1" x14ac:dyDescent="0.2">
      <c r="A13" s="32" t="s">
        <v>64</v>
      </c>
      <c r="B13" s="72">
        <f>B11-B12</f>
        <v>12999.674889846154</v>
      </c>
      <c r="C13" s="72">
        <f>C11-C12</f>
        <v>6882.0417409230768</v>
      </c>
      <c r="D13" s="72">
        <f>D11-D12</f>
        <v>0</v>
      </c>
      <c r="E13" s="142" t="str">
        <f>IF(C13&gt;C18,"governs","--")</f>
        <v>governs</v>
      </c>
    </row>
    <row r="15" spans="1:13" ht="18" customHeight="1" x14ac:dyDescent="0.25">
      <c r="A15" s="140" t="s">
        <v>47</v>
      </c>
      <c r="B15" s="34">
        <f>B3</f>
        <v>8</v>
      </c>
      <c r="C15" s="34">
        <f>C3</f>
        <v>4</v>
      </c>
      <c r="D15" s="34">
        <f>D3</f>
        <v>0</v>
      </c>
    </row>
    <row r="16" spans="1:13" ht="18" customHeight="1" x14ac:dyDescent="0.3">
      <c r="A16" s="32" t="s">
        <v>45</v>
      </c>
      <c r="B16" s="29">
        <f>G7*B4*B15</f>
        <v>6837.9927272727264</v>
      </c>
      <c r="C16" s="29">
        <f>C15*G7*C4</f>
        <v>3418.9963636363632</v>
      </c>
      <c r="D16" s="29">
        <f>D15*G7*D4</f>
        <v>0</v>
      </c>
      <c r="E16" s="32" t="s">
        <v>45</v>
      </c>
      <c r="F16" s="147" t="s">
        <v>59</v>
      </c>
    </row>
    <row r="17" spans="1:11" ht="18" customHeight="1" x14ac:dyDescent="0.3">
      <c r="A17" s="32" t="s">
        <v>46</v>
      </c>
      <c r="B17" s="29">
        <f>0.6*B8*(B3/2)</f>
        <v>2890.56</v>
      </c>
      <c r="C17" s="29">
        <f>0.6*C8*(C3/2)</f>
        <v>722.64</v>
      </c>
      <c r="D17" s="29">
        <f>0.6*D8*(D3/2)</f>
        <v>0</v>
      </c>
      <c r="E17" s="32" t="s">
        <v>46</v>
      </c>
      <c r="F17" s="30" t="s">
        <v>60</v>
      </c>
      <c r="H17" s="5"/>
      <c r="I17" s="5"/>
      <c r="J17" s="5"/>
      <c r="K17" s="5"/>
    </row>
    <row r="18" spans="1:11" ht="18" customHeight="1" x14ac:dyDescent="0.2">
      <c r="A18" s="32" t="s">
        <v>64</v>
      </c>
      <c r="B18" s="72">
        <f>B16-B17</f>
        <v>3947.4327272727264</v>
      </c>
      <c r="C18" s="72">
        <f>C16-C17</f>
        <v>2696.3563636363633</v>
      </c>
      <c r="D18" s="72">
        <f>D16-D17</f>
        <v>0</v>
      </c>
      <c r="E18" s="145" t="str">
        <f>IF(C18&gt;C13,"governs","--")</f>
        <v>--</v>
      </c>
      <c r="H18" s="269" t="s">
        <v>157</v>
      </c>
      <c r="I18" s="270"/>
      <c r="J18" s="270"/>
      <c r="K18" s="271"/>
    </row>
    <row r="19" spans="1:11" ht="18" customHeight="1" x14ac:dyDescent="0.25">
      <c r="A19" s="140"/>
      <c r="H19" s="104" t="s">
        <v>163</v>
      </c>
      <c r="I19" s="104" t="s">
        <v>161</v>
      </c>
      <c r="J19" s="272" t="s">
        <v>160</v>
      </c>
      <c r="K19" s="273"/>
    </row>
    <row r="20" spans="1:11" ht="18" customHeight="1" x14ac:dyDescent="0.25">
      <c r="A20" s="140" t="s">
        <v>72</v>
      </c>
      <c r="B20" s="42"/>
      <c r="C20" s="42"/>
      <c r="D20" s="42"/>
      <c r="E20" s="145"/>
      <c r="F20" s="42"/>
      <c r="H20" s="144" t="s">
        <v>162</v>
      </c>
      <c r="I20" s="144" t="s">
        <v>164</v>
      </c>
      <c r="J20" s="144" t="s">
        <v>158</v>
      </c>
      <c r="K20" s="71" t="s">
        <v>159</v>
      </c>
    </row>
    <row r="21" spans="1:11" ht="18" customHeight="1" x14ac:dyDescent="0.2">
      <c r="A21" s="32" t="s">
        <v>64</v>
      </c>
      <c r="B21" s="61">
        <f>IF(B18&gt;B13,B18,B13)</f>
        <v>12999.674889846154</v>
      </c>
      <c r="C21" s="61">
        <f>IF(C18&gt;C13,C18,C13)</f>
        <v>6882.0417409230768</v>
      </c>
      <c r="D21" s="61">
        <f>IF(D18&gt;D13,D18,D13)</f>
        <v>0</v>
      </c>
      <c r="E21" s="165" t="s">
        <v>153</v>
      </c>
      <c r="H21" s="171">
        <v>1500</v>
      </c>
      <c r="I21" s="172">
        <f>H21*0.75</f>
        <v>1125</v>
      </c>
      <c r="J21" s="173" t="s">
        <v>80</v>
      </c>
      <c r="K21" s="174" t="s">
        <v>81</v>
      </c>
    </row>
    <row r="22" spans="1:11" ht="18" customHeight="1" x14ac:dyDescent="0.3">
      <c r="A22" s="33" t="s">
        <v>51</v>
      </c>
      <c r="B22" s="2">
        <f>B3-0.833</f>
        <v>7.1669999999999998</v>
      </c>
      <c r="C22" s="2">
        <f t="shared" ref="C22:D22" si="0">C3-0.833</f>
        <v>3.1669999999999998</v>
      </c>
      <c r="D22" s="2">
        <f t="shared" si="0"/>
        <v>-0.83299999999999996</v>
      </c>
      <c r="E22" s="38"/>
      <c r="F22" s="38"/>
      <c r="H22" s="170">
        <v>3610</v>
      </c>
      <c r="I22" s="172">
        <f t="shared" ref="I22:I24" si="1">H22*0.75</f>
        <v>2707.5</v>
      </c>
      <c r="J22" s="175" t="s">
        <v>78</v>
      </c>
      <c r="K22" s="138" t="s">
        <v>81</v>
      </c>
    </row>
    <row r="23" spans="1:11" ht="18" customHeight="1" x14ac:dyDescent="0.2">
      <c r="A23" s="141" t="s">
        <v>73</v>
      </c>
      <c r="B23" s="73">
        <f>B21/B22</f>
        <v>1813.8237602687532</v>
      </c>
      <c r="C23" s="73">
        <f t="shared" ref="C23:D23" si="2">C21/C22</f>
        <v>2173.04759738651</v>
      </c>
      <c r="D23" s="73">
        <f t="shared" si="2"/>
        <v>0</v>
      </c>
      <c r="E23" s="274"/>
      <c r="F23" s="274"/>
      <c r="H23" s="170">
        <v>4670</v>
      </c>
      <c r="I23" s="172">
        <f t="shared" si="1"/>
        <v>3502.5</v>
      </c>
      <c r="J23" s="175" t="s">
        <v>79</v>
      </c>
      <c r="K23" s="138" t="s">
        <v>82</v>
      </c>
    </row>
    <row r="24" spans="1:11" ht="18" customHeight="1" x14ac:dyDescent="0.2">
      <c r="A24" s="39"/>
      <c r="B24" s="70" t="str">
        <f>IF(B23&lt;=0,"NONE",IF(B23&lt;=I21,J21,IF(B23&lt;=I22,J22,IF(B23&lt;=I23,J23,IF(B23&lt;=I24,J24)))))</f>
        <v>HTT4</v>
      </c>
      <c r="C24" s="70" t="str">
        <f>IF(C23&lt;=0,"NONE",IF(C23&lt;=$I$21,$J$21,IF(C23&lt;=$I$22,$J$22,IF(C23&lt;=$I$23,$J$23,IF(C23&lt;=$I$24,$J$24)))))</f>
        <v>HTT4</v>
      </c>
      <c r="D24" s="70" t="str">
        <f>IF(D23&lt;=0,"NONE",IF(D23&lt;=$I$21,$J$21,IF(D23&lt;=$I$22,$J$22,IF(D23&lt;=$I$23,$J$23,IF(D23&lt;=$I$24,$J$24)))))</f>
        <v>NONE</v>
      </c>
      <c r="E24" s="141"/>
      <c r="F24" s="37"/>
      <c r="H24" s="175">
        <v>7345</v>
      </c>
      <c r="I24" s="172">
        <f t="shared" si="1"/>
        <v>5508.75</v>
      </c>
      <c r="J24" s="175" t="s">
        <v>165</v>
      </c>
      <c r="K24" s="104" t="s">
        <v>126</v>
      </c>
    </row>
    <row r="25" spans="1:11" ht="18" customHeight="1" x14ac:dyDescent="0.2">
      <c r="E25" s="141"/>
      <c r="F25" s="148"/>
    </row>
    <row r="26" spans="1:11" ht="18" customHeight="1" x14ac:dyDescent="0.2">
      <c r="A26" s="280" t="s">
        <v>195</v>
      </c>
      <c r="B26" s="280"/>
      <c r="C26" s="280"/>
      <c r="D26" s="280"/>
      <c r="E26" s="280"/>
      <c r="F26" s="280"/>
      <c r="G26" s="280"/>
      <c r="I26"/>
      <c r="J26"/>
    </row>
    <row r="27" spans="1:11" ht="18" customHeight="1" x14ac:dyDescent="0.2">
      <c r="A27" s="211" t="s">
        <v>154</v>
      </c>
      <c r="B27" s="208" t="s">
        <v>197</v>
      </c>
      <c r="C27" s="210" t="s">
        <v>196</v>
      </c>
      <c r="D27" s="208" t="s">
        <v>198</v>
      </c>
      <c r="E27" s="208" t="s">
        <v>200</v>
      </c>
      <c r="F27" s="278" t="s">
        <v>199</v>
      </c>
      <c r="G27" s="279"/>
      <c r="I27"/>
      <c r="J27"/>
    </row>
    <row r="28" spans="1:11" ht="18" customHeight="1" x14ac:dyDescent="0.2">
      <c r="A28" s="71" t="s">
        <v>76</v>
      </c>
      <c r="B28" s="139">
        <v>645</v>
      </c>
      <c r="C28" s="220">
        <v>18.5</v>
      </c>
      <c r="D28" s="69">
        <f>ROUNDUP(MAX(F6:F7)/B28,0)</f>
        <v>5</v>
      </c>
      <c r="E28" s="218">
        <f>C28/(D28-1)</f>
        <v>4.625</v>
      </c>
      <c r="F28" s="221">
        <f>B28*D28</f>
        <v>3225</v>
      </c>
      <c r="G28" s="208" t="str">
        <f>IF(F28&gt;MAX(F6:F7),"OK","bad")</f>
        <v>OK</v>
      </c>
    </row>
    <row r="29" spans="1:11" ht="18" customHeight="1" x14ac:dyDescent="0.2">
      <c r="A29" s="211"/>
      <c r="B29" s="6"/>
      <c r="C29" s="68"/>
      <c r="D29" s="69"/>
      <c r="E29" s="169"/>
      <c r="F29" s="217"/>
      <c r="G29" s="217"/>
    </row>
    <row r="30" spans="1:11" ht="18" customHeight="1" x14ac:dyDescent="0.2">
      <c r="A30" s="219" t="s">
        <v>210</v>
      </c>
      <c r="G30" s="40"/>
    </row>
    <row r="31" spans="1:11" ht="18" hidden="1" customHeight="1" x14ac:dyDescent="0.2">
      <c r="G31" s="40"/>
      <c r="H31" s="38"/>
    </row>
    <row r="32" spans="1:11" ht="18" hidden="1" customHeight="1" x14ac:dyDescent="0.2">
      <c r="H32" s="38"/>
    </row>
    <row r="33" spans="1:10" ht="18" customHeight="1" x14ac:dyDescent="0.2">
      <c r="G33" s="38"/>
      <c r="H33" s="38"/>
      <c r="J33" s="142"/>
    </row>
    <row r="34" spans="1:10" ht="18" hidden="1" customHeight="1" x14ac:dyDescent="0.2">
      <c r="A34" s="71" t="s">
        <v>77</v>
      </c>
      <c r="B34" s="139">
        <v>485</v>
      </c>
      <c r="C34" s="69">
        <f t="shared" ref="C34" si="3">ROUNDUP((MAX($F$6:$F$7)/B34),0)</f>
        <v>6</v>
      </c>
      <c r="D34" s="169">
        <f>EVEN(($C$28/(C34-1))*12)</f>
        <v>46</v>
      </c>
      <c r="E34" s="239"/>
      <c r="F34" s="239"/>
      <c r="G34" s="38"/>
      <c r="H34" s="51"/>
    </row>
    <row r="35" spans="1:10" ht="18" hidden="1" customHeight="1" x14ac:dyDescent="0.2">
      <c r="A35" s="71" t="s">
        <v>156</v>
      </c>
      <c r="B35" s="69">
        <v>480</v>
      </c>
      <c r="C35" s="69">
        <f>ROUNDUP((MAX($F$6:$F$7)/B35),0)</f>
        <v>6</v>
      </c>
      <c r="D35" s="169">
        <f>EVEN(($C$28/(C35-1))*12)</f>
        <v>46</v>
      </c>
      <c r="E35" s="236"/>
      <c r="F35" s="238"/>
      <c r="G35" s="38"/>
      <c r="H35" s="38"/>
    </row>
    <row r="36" spans="1:10" ht="18" customHeight="1" x14ac:dyDescent="0.2">
      <c r="H36" s="38"/>
    </row>
    <row r="37" spans="1:10" ht="18" customHeight="1" x14ac:dyDescent="0.2">
      <c r="A37" s="275" t="s">
        <v>155</v>
      </c>
      <c r="B37" s="276"/>
      <c r="C37" s="276"/>
      <c r="D37" s="276"/>
      <c r="E37" s="276"/>
      <c r="F37" s="276"/>
      <c r="G37" s="277"/>
      <c r="H37" s="38"/>
    </row>
    <row r="38" spans="1:10" ht="18" customHeight="1" x14ac:dyDescent="0.2">
      <c r="A38" s="71" t="s">
        <v>75</v>
      </c>
      <c r="B38" s="139" t="s">
        <v>84</v>
      </c>
      <c r="C38" s="144" t="s">
        <v>88</v>
      </c>
      <c r="D38" s="166" t="s">
        <v>87</v>
      </c>
      <c r="E38" s="167" t="s">
        <v>85</v>
      </c>
      <c r="F38" s="278" t="s">
        <v>86</v>
      </c>
      <c r="G38" s="279"/>
      <c r="H38" s="38"/>
    </row>
    <row r="39" spans="1:10" ht="18" customHeight="1" x14ac:dyDescent="0.2">
      <c r="A39" s="68">
        <v>1180</v>
      </c>
      <c r="B39" s="74">
        <f>B3</f>
        <v>8</v>
      </c>
      <c r="C39" s="69">
        <f>MAX($G$6:$G$7)*B39</f>
        <v>1816.0615092307692</v>
      </c>
      <c r="D39" s="68">
        <v>3</v>
      </c>
      <c r="E39" s="168">
        <f>(B39-(16/12*2))*12/(D39-1)</f>
        <v>32</v>
      </c>
      <c r="F39" s="139">
        <f>D39*$A$39</f>
        <v>3540</v>
      </c>
      <c r="G39" s="139" t="str">
        <f>IF(F39&gt;=C39,"OK","FAIL")</f>
        <v>OK</v>
      </c>
      <c r="H39" s="38"/>
    </row>
    <row r="40" spans="1:10" ht="18" customHeight="1" x14ac:dyDescent="0.2">
      <c r="A40" s="6"/>
      <c r="B40" s="74">
        <f>C3</f>
        <v>4</v>
      </c>
      <c r="C40" s="69">
        <f>MAX($G$6:$G$7)*B40</f>
        <v>908.03075461538458</v>
      </c>
      <c r="D40" s="68">
        <v>2</v>
      </c>
      <c r="E40" s="168">
        <f>(B40-(16/12*2))*12/(D40-1)</f>
        <v>16</v>
      </c>
      <c r="F40" s="139">
        <f>D40*$A$39</f>
        <v>2360</v>
      </c>
      <c r="G40" s="139" t="str">
        <f>IF(F40&gt;=C40,"OK","FAIL")</f>
        <v>OK</v>
      </c>
      <c r="H40" s="38"/>
    </row>
    <row r="41" spans="1:10" ht="18" hidden="1" customHeight="1" x14ac:dyDescent="0.2">
      <c r="A41" s="6"/>
      <c r="B41" s="74">
        <f>D3</f>
        <v>0</v>
      </c>
      <c r="C41" s="69">
        <f>MAX($G$6:$G$7)*B41</f>
        <v>0</v>
      </c>
      <c r="D41" s="68">
        <v>0</v>
      </c>
      <c r="E41" s="168">
        <f>(B41-(16/12*2))*12/(D41-1)</f>
        <v>32</v>
      </c>
      <c r="F41" s="139">
        <f>D41*$A$39</f>
        <v>0</v>
      </c>
      <c r="G41" s="139" t="str">
        <f>IF(F41&gt;=C41,"OK","FAIL")</f>
        <v>OK</v>
      </c>
      <c r="H41" s="7"/>
    </row>
    <row r="42" spans="1:10" ht="18" customHeight="1" x14ac:dyDescent="0.2">
      <c r="A42" s="7"/>
      <c r="B42" s="67"/>
      <c r="C42" s="67"/>
      <c r="D42" s="7"/>
      <c r="E42" s="281"/>
      <c r="F42" s="281"/>
      <c r="G42" s="7"/>
      <c r="H42" s="7"/>
    </row>
    <row r="43" spans="1:10" ht="18" customHeight="1" x14ac:dyDescent="0.2">
      <c r="A43" s="8"/>
      <c r="B43" s="48"/>
      <c r="C43" s="48"/>
      <c r="D43" s="7"/>
      <c r="E43" s="31"/>
      <c r="F43" s="43"/>
      <c r="G43" s="7"/>
      <c r="H43" s="7"/>
    </row>
    <row r="44" spans="1:10" ht="18" customHeight="1" x14ac:dyDescent="0.2">
      <c r="A44" s="31"/>
      <c r="B44" s="145"/>
      <c r="C44" s="145"/>
      <c r="D44" s="7"/>
      <c r="E44" s="31"/>
      <c r="F44" s="145"/>
      <c r="G44" s="7"/>
      <c r="H44" s="7"/>
    </row>
    <row r="45" spans="1:10" ht="18" customHeight="1" x14ac:dyDescent="0.2">
      <c r="A45" s="31"/>
      <c r="B45" s="145"/>
      <c r="C45" s="145"/>
      <c r="D45" s="7"/>
      <c r="E45" s="145"/>
      <c r="F45" s="44"/>
      <c r="G45" s="7"/>
      <c r="H45" s="7"/>
    </row>
    <row r="46" spans="1:10" ht="18" customHeight="1" x14ac:dyDescent="0.2">
      <c r="A46" s="31"/>
      <c r="B46" s="36"/>
      <c r="C46" s="36"/>
      <c r="D46" s="7"/>
      <c r="E46" s="31"/>
      <c r="F46" s="45"/>
      <c r="G46" s="35"/>
      <c r="H46" s="145"/>
    </row>
    <row r="47" spans="1:10" ht="18" customHeight="1" x14ac:dyDescent="0.2">
      <c r="A47" s="31"/>
      <c r="B47" s="145"/>
      <c r="C47" s="36"/>
      <c r="D47" s="7"/>
      <c r="E47" s="31"/>
      <c r="F47" s="45"/>
      <c r="G47" s="35"/>
      <c r="H47" s="145"/>
    </row>
    <row r="48" spans="1:10" ht="18" customHeight="1" x14ac:dyDescent="0.2">
      <c r="A48" s="31"/>
      <c r="B48" s="36"/>
      <c r="C48" s="36"/>
      <c r="D48" s="36"/>
      <c r="E48" s="7"/>
      <c r="F48" s="7"/>
      <c r="G48" s="7"/>
      <c r="H48" s="7"/>
    </row>
    <row r="49" spans="1:9" ht="18" customHeight="1" x14ac:dyDescent="0.2">
      <c r="A49" s="31"/>
      <c r="B49" s="145"/>
      <c r="C49" s="7"/>
      <c r="D49" s="7"/>
      <c r="E49" s="7"/>
      <c r="F49" s="7"/>
      <c r="G49" s="7"/>
      <c r="H49" s="7"/>
    </row>
    <row r="50" spans="1:9" ht="18" customHeight="1" x14ac:dyDescent="0.25">
      <c r="A50" s="46"/>
      <c r="B50" s="48"/>
      <c r="C50" s="48"/>
      <c r="D50" s="7"/>
      <c r="E50" s="7"/>
      <c r="F50" s="7"/>
      <c r="G50" s="7"/>
      <c r="H50" s="7"/>
    </row>
    <row r="51" spans="1:9" ht="18" customHeight="1" x14ac:dyDescent="0.2">
      <c r="A51" s="36"/>
      <c r="B51" s="36"/>
      <c r="C51" s="36"/>
      <c r="D51" s="7"/>
      <c r="E51" s="31"/>
      <c r="F51" s="146"/>
      <c r="G51" s="7"/>
      <c r="H51" s="7"/>
    </row>
    <row r="52" spans="1:9" ht="18" customHeight="1" x14ac:dyDescent="0.2">
      <c r="A52"/>
      <c r="B52"/>
      <c r="C52"/>
      <c r="D52"/>
      <c r="E52"/>
      <c r="F52"/>
      <c r="G52"/>
      <c r="H52"/>
      <c r="I52"/>
    </row>
    <row r="53" spans="1:9" ht="18" customHeight="1" x14ac:dyDescent="0.2">
      <c r="A53"/>
      <c r="B53"/>
      <c r="C53"/>
      <c r="D53"/>
      <c r="E53"/>
      <c r="F53"/>
      <c r="G53"/>
      <c r="H53"/>
      <c r="I53"/>
    </row>
    <row r="54" spans="1:9" ht="18" customHeight="1" x14ac:dyDescent="0.2">
      <c r="A54"/>
      <c r="B54"/>
      <c r="C54"/>
      <c r="D54"/>
      <c r="E54"/>
      <c r="F54"/>
      <c r="G54"/>
      <c r="H54"/>
      <c r="I54"/>
    </row>
    <row r="55" spans="1:9" ht="18" customHeight="1" x14ac:dyDescent="0.2">
      <c r="A55"/>
      <c r="B55"/>
      <c r="C55"/>
      <c r="D55"/>
      <c r="E55"/>
      <c r="F55"/>
      <c r="G55"/>
      <c r="H55"/>
      <c r="I55"/>
    </row>
    <row r="56" spans="1:9" ht="18" customHeight="1" x14ac:dyDescent="0.2">
      <c r="A56"/>
      <c r="B56"/>
      <c r="C56"/>
      <c r="D56"/>
      <c r="E56"/>
      <c r="F56"/>
      <c r="G56"/>
      <c r="H56"/>
      <c r="I56"/>
    </row>
    <row r="57" spans="1:9" ht="18" customHeight="1" x14ac:dyDescent="0.2">
      <c r="A57"/>
      <c r="B57"/>
      <c r="C57"/>
      <c r="D57"/>
      <c r="E57"/>
      <c r="F57"/>
      <c r="G57"/>
      <c r="H57"/>
      <c r="I57"/>
    </row>
    <row r="58" spans="1:9" ht="18" customHeight="1" x14ac:dyDescent="0.2">
      <c r="A58"/>
      <c r="B58"/>
      <c r="C58"/>
      <c r="D58"/>
      <c r="E58"/>
      <c r="F58"/>
      <c r="G58"/>
      <c r="H58"/>
      <c r="I58"/>
    </row>
    <row r="59" spans="1:9" ht="18" customHeight="1" x14ac:dyDescent="0.2">
      <c r="A59"/>
      <c r="B59"/>
      <c r="C59"/>
      <c r="D59"/>
      <c r="E59"/>
      <c r="F59"/>
      <c r="G59"/>
      <c r="H59"/>
      <c r="I59"/>
    </row>
    <row r="60" spans="1:9" ht="18" customHeight="1" x14ac:dyDescent="0.2">
      <c r="A60"/>
      <c r="B60"/>
      <c r="C60"/>
      <c r="D60"/>
      <c r="E60"/>
      <c r="F60"/>
      <c r="G60"/>
      <c r="H60"/>
      <c r="I60"/>
    </row>
    <row r="61" spans="1:9" ht="18" customHeight="1" x14ac:dyDescent="0.2">
      <c r="A61"/>
      <c r="B61"/>
      <c r="C61"/>
      <c r="D61"/>
      <c r="E61"/>
      <c r="F61"/>
      <c r="G61"/>
      <c r="H61"/>
      <c r="I61"/>
    </row>
    <row r="62" spans="1:9" ht="18" customHeight="1" x14ac:dyDescent="0.2">
      <c r="A62"/>
      <c r="B62"/>
      <c r="C62"/>
      <c r="D62"/>
      <c r="E62"/>
      <c r="F62"/>
      <c r="G62"/>
      <c r="H62"/>
      <c r="I62"/>
    </row>
    <row r="63" spans="1:9" ht="18" customHeight="1" x14ac:dyDescent="0.2">
      <c r="A63"/>
      <c r="B63"/>
      <c r="C63"/>
      <c r="D63"/>
      <c r="E63"/>
      <c r="F63"/>
      <c r="G63"/>
      <c r="H63"/>
      <c r="I63"/>
    </row>
  </sheetData>
  <mergeCells count="12">
    <mergeCell ref="F27:G27"/>
    <mergeCell ref="A26:G26"/>
    <mergeCell ref="F38:G38"/>
    <mergeCell ref="E42:F42"/>
    <mergeCell ref="E34:F34"/>
    <mergeCell ref="E35:F35"/>
    <mergeCell ref="A37:G37"/>
    <mergeCell ref="B2:C2"/>
    <mergeCell ref="F12:H12"/>
    <mergeCell ref="H18:K18"/>
    <mergeCell ref="J19:K19"/>
    <mergeCell ref="E23:F23"/>
  </mergeCells>
  <conditionalFormatting sqref="G30 G46">
    <cfRule type="cellIs" dxfId="25" priority="15" stopIfTrue="1" operator="greaterThan">
      <formula>$G$7</formula>
    </cfRule>
  </conditionalFormatting>
  <conditionalFormatting sqref="G31 G47">
    <cfRule type="cellIs" dxfId="24" priority="14" stopIfTrue="1" operator="greaterThan">
      <formula>$G$6</formula>
    </cfRule>
  </conditionalFormatting>
  <conditionalFormatting sqref="B18:C18">
    <cfRule type="cellIs" dxfId="23" priority="13" stopIfTrue="1" operator="greaterThan">
      <formula>$B$13</formula>
    </cfRule>
  </conditionalFormatting>
  <conditionalFormatting sqref="B13">
    <cfRule type="cellIs" dxfId="22" priority="12" stopIfTrue="1" operator="greaterThan">
      <formula>$B$18</formula>
    </cfRule>
  </conditionalFormatting>
  <conditionalFormatting sqref="C13">
    <cfRule type="cellIs" dxfId="21" priority="11" stopIfTrue="1" operator="greaterThan">
      <formula>$C$18</formula>
    </cfRule>
  </conditionalFormatting>
  <conditionalFormatting sqref="B23:D23">
    <cfRule type="cellIs" dxfId="20" priority="10" stopIfTrue="1" operator="greaterThan">
      <formula>$B$13</formula>
    </cfRule>
  </conditionalFormatting>
  <conditionalFormatting sqref="B8">
    <cfRule type="cellIs" dxfId="19" priority="9" stopIfTrue="1" operator="greaterThan">
      <formula>$B$18</formula>
    </cfRule>
  </conditionalFormatting>
  <conditionalFormatting sqref="C8">
    <cfRule type="cellIs" dxfId="18" priority="8" stopIfTrue="1" operator="greaterThan">
      <formula>$B$18</formula>
    </cfRule>
  </conditionalFormatting>
  <conditionalFormatting sqref="G6">
    <cfRule type="cellIs" dxfId="17" priority="7" operator="greaterThan">
      <formula>$G$7</formula>
    </cfRule>
  </conditionalFormatting>
  <conditionalFormatting sqref="G7">
    <cfRule type="cellIs" dxfId="16" priority="6" operator="greaterThan">
      <formula>$G$6</formula>
    </cfRule>
  </conditionalFormatting>
  <conditionalFormatting sqref="D18">
    <cfRule type="cellIs" dxfId="15" priority="5" stopIfTrue="1" operator="greaterThan">
      <formula>$B$13</formula>
    </cfRule>
  </conditionalFormatting>
  <conditionalFormatting sqref="D13">
    <cfRule type="cellIs" dxfId="14" priority="4" stopIfTrue="1" operator="greaterThan">
      <formula>$C$18</formula>
    </cfRule>
  </conditionalFormatting>
  <conditionalFormatting sqref="D8">
    <cfRule type="cellIs" dxfId="13" priority="3" stopIfTrue="1" operator="greaterThan">
      <formula>$B$18</formula>
    </cfRule>
  </conditionalFormatting>
  <pageMargins left="0.75" right="0.75" top="1.74" bottom="1" header="0.5" footer="0.5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opLeftCell="A22" zoomScaleNormal="100" zoomScaleSheetLayoutView="90" workbookViewId="0">
      <selection activeCell="D45" sqref="D45"/>
    </sheetView>
  </sheetViews>
  <sheetFormatPr defaultRowHeight="18" customHeight="1" x14ac:dyDescent="0.2"/>
  <cols>
    <col min="1" max="1" width="13.5703125" style="180" customWidth="1"/>
    <col min="2" max="2" width="14.28515625" style="180" customWidth="1"/>
    <col min="3" max="3" width="12.28515625" style="180" customWidth="1"/>
    <col min="4" max="4" width="12.42578125" style="180" customWidth="1"/>
    <col min="5" max="5" width="10.5703125" style="180" customWidth="1"/>
    <col min="6" max="6" width="7.5703125" style="180" customWidth="1"/>
    <col min="7" max="7" width="10.28515625" style="180" customWidth="1"/>
    <col min="8" max="8" width="13.85546875" style="180" customWidth="1"/>
    <col min="9" max="10" width="9.140625" style="180"/>
    <col min="11" max="11" width="11" style="180" bestFit="1" customWidth="1"/>
    <col min="12" max="16384" width="9.140625" style="180"/>
  </cols>
  <sheetData>
    <row r="1" spans="1:8" ht="18" customHeight="1" x14ac:dyDescent="0.25">
      <c r="A1" s="126" t="s">
        <v>63</v>
      </c>
      <c r="C1" s="127">
        <v>3</v>
      </c>
    </row>
    <row r="2" spans="1:8" ht="18" customHeight="1" x14ac:dyDescent="0.2">
      <c r="B2" s="267" t="s">
        <v>56</v>
      </c>
      <c r="C2" s="267"/>
      <c r="F2" s="5" t="s">
        <v>61</v>
      </c>
    </row>
    <row r="3" spans="1:8" ht="18" customHeight="1" x14ac:dyDescent="0.3">
      <c r="A3" s="33" t="s">
        <v>51</v>
      </c>
      <c r="B3" s="74">
        <v>12</v>
      </c>
      <c r="C3" s="74">
        <v>0</v>
      </c>
      <c r="D3" s="74">
        <v>0</v>
      </c>
      <c r="E3" s="32" t="s">
        <v>54</v>
      </c>
      <c r="F3" s="66">
        <f>'wind-siesmic'!$B$47</f>
        <v>15.274999999999999</v>
      </c>
    </row>
    <row r="4" spans="1:8" ht="18" customHeight="1" x14ac:dyDescent="0.3">
      <c r="A4" s="32" t="s">
        <v>50</v>
      </c>
      <c r="B4" s="65">
        <v>8</v>
      </c>
      <c r="C4" s="65">
        <v>8</v>
      </c>
      <c r="D4" s="65">
        <v>0</v>
      </c>
      <c r="E4" s="32" t="s">
        <v>55</v>
      </c>
      <c r="F4" s="64">
        <f>'wind-siesmic'!$G$41</f>
        <v>15</v>
      </c>
    </row>
    <row r="5" spans="1:8" ht="18" customHeight="1" x14ac:dyDescent="0.3">
      <c r="A5" s="32" t="s">
        <v>74</v>
      </c>
      <c r="B5" s="63">
        <f>B3*(2)</f>
        <v>24</v>
      </c>
      <c r="C5" s="63">
        <f>C3*(2)</f>
        <v>0</v>
      </c>
      <c r="D5" s="63">
        <v>0</v>
      </c>
      <c r="E5" s="177" t="s">
        <v>62</v>
      </c>
      <c r="F5" s="62">
        <f>SUM(B3:D3)</f>
        <v>12</v>
      </c>
    </row>
    <row r="6" spans="1:8" ht="18" customHeight="1" x14ac:dyDescent="0.3">
      <c r="A6" s="32" t="s">
        <v>52</v>
      </c>
      <c r="B6" s="29">
        <f>B5*F3</f>
        <v>366.59999999999997</v>
      </c>
      <c r="C6" s="29">
        <f>C5*F3</f>
        <v>0</v>
      </c>
      <c r="D6" s="29">
        <f>D5*F3</f>
        <v>0</v>
      </c>
      <c r="E6" s="32" t="s">
        <v>48</v>
      </c>
      <c r="F6" s="223">
        <f>'wind-siesmic'!$F$80</f>
        <v>4043.0232331730772</v>
      </c>
      <c r="G6" s="222">
        <f>F6/F5</f>
        <v>336.9186027644231</v>
      </c>
      <c r="H6" s="30" t="s">
        <v>177</v>
      </c>
    </row>
    <row r="7" spans="1:8" ht="18" customHeight="1" x14ac:dyDescent="0.3">
      <c r="A7" s="32" t="s">
        <v>53</v>
      </c>
      <c r="B7" s="29">
        <f>B3*B4*F4</f>
        <v>1440</v>
      </c>
      <c r="C7" s="29">
        <f>C3*C4*F4</f>
        <v>0</v>
      </c>
      <c r="D7" s="29">
        <f>D3*D4*F4</f>
        <v>0</v>
      </c>
      <c r="E7" s="32" t="s">
        <v>49</v>
      </c>
      <c r="F7" s="223">
        <f>'wind-siesmic'!$H$80</f>
        <v>1602.6545454545453</v>
      </c>
      <c r="G7" s="222">
        <f>F7/F5</f>
        <v>133.55454545454543</v>
      </c>
    </row>
    <row r="8" spans="1:8" ht="18" customHeight="1" x14ac:dyDescent="0.3">
      <c r="A8" s="32" t="s">
        <v>57</v>
      </c>
      <c r="B8" s="60">
        <f>SUM(B6:B7)</f>
        <v>1806.6</v>
      </c>
      <c r="C8" s="60">
        <f>SUM(C6:C7)</f>
        <v>0</v>
      </c>
      <c r="D8" s="60">
        <f>SUM(D6:D7)</f>
        <v>0</v>
      </c>
      <c r="E8" s="8" t="s">
        <v>2</v>
      </c>
      <c r="F8" s="11">
        <f>'wind-siesmic'!$B$30</f>
        <v>2.0190000000000001</v>
      </c>
    </row>
    <row r="9" spans="1:8" ht="18" customHeight="1" x14ac:dyDescent="0.2">
      <c r="A9" s="32"/>
      <c r="B9" s="182"/>
      <c r="C9" s="7"/>
      <c r="D9" s="7"/>
      <c r="E9" s="7"/>
      <c r="F9" s="7"/>
    </row>
    <row r="10" spans="1:8" ht="18" customHeight="1" x14ac:dyDescent="0.25">
      <c r="A10" s="178" t="s">
        <v>44</v>
      </c>
      <c r="B10" s="34">
        <f>B3</f>
        <v>12</v>
      </c>
      <c r="C10" s="34">
        <f>C3</f>
        <v>0</v>
      </c>
      <c r="D10" s="34">
        <f>D3</f>
        <v>0</v>
      </c>
    </row>
    <row r="11" spans="1:8" ht="18" customHeight="1" x14ac:dyDescent="0.3">
      <c r="A11" s="32" t="s">
        <v>45</v>
      </c>
      <c r="B11" s="29">
        <f>G6*B4*B10</f>
        <v>32344.185865384618</v>
      </c>
      <c r="C11" s="29">
        <f>G6*C4*C10</f>
        <v>0</v>
      </c>
      <c r="D11" s="29">
        <f>G6*D4*D10</f>
        <v>0</v>
      </c>
      <c r="E11" s="32" t="s">
        <v>45</v>
      </c>
      <c r="F11" s="183" t="s">
        <v>58</v>
      </c>
      <c r="H11" s="7"/>
    </row>
    <row r="12" spans="1:8" ht="18" customHeight="1" x14ac:dyDescent="0.3">
      <c r="A12" s="31" t="s">
        <v>46</v>
      </c>
      <c r="B12" s="29">
        <f>(0.6*B8-0.7*(0.2*F8*B8))*(B3/2)</f>
        <v>3439.838663999999</v>
      </c>
      <c r="C12" s="29">
        <f>(0.6*C8-0.7*(0.2*F8*C8))*(C3/2)</f>
        <v>0</v>
      </c>
      <c r="D12" s="29">
        <f>(0.6*D8-0.7*(0.2*F8*D8))*(D3/2)</f>
        <v>0</v>
      </c>
      <c r="E12" s="31" t="s">
        <v>46</v>
      </c>
      <c r="F12" s="268" t="s">
        <v>71</v>
      </c>
      <c r="G12" s="268"/>
      <c r="H12" s="268"/>
    </row>
    <row r="13" spans="1:8" ht="18" customHeight="1" x14ac:dyDescent="0.2">
      <c r="A13" s="32" t="s">
        <v>64</v>
      </c>
      <c r="B13" s="72">
        <f>B11-B12</f>
        <v>28904.347201384619</v>
      </c>
      <c r="C13" s="72">
        <f>C11-C12</f>
        <v>0</v>
      </c>
      <c r="D13" s="72">
        <f>D11-D12</f>
        <v>0</v>
      </c>
      <c r="E13" s="177" t="str">
        <f>IF(C13&gt;C18,"governs","--")</f>
        <v>--</v>
      </c>
    </row>
    <row r="15" spans="1:8" ht="18" customHeight="1" x14ac:dyDescent="0.25">
      <c r="A15" s="178" t="s">
        <v>47</v>
      </c>
      <c r="B15" s="34">
        <f>B3</f>
        <v>12</v>
      </c>
      <c r="C15" s="34">
        <f>C3</f>
        <v>0</v>
      </c>
      <c r="D15" s="34">
        <f>D3</f>
        <v>0</v>
      </c>
    </row>
    <row r="16" spans="1:8" ht="18" customHeight="1" x14ac:dyDescent="0.3">
      <c r="A16" s="32" t="s">
        <v>45</v>
      </c>
      <c r="B16" s="29">
        <f>G7*B4*B15</f>
        <v>12821.236363636363</v>
      </c>
      <c r="C16" s="29">
        <f>C15*G7*C4</f>
        <v>0</v>
      </c>
      <c r="D16" s="29">
        <f>D15*G7*D4</f>
        <v>0</v>
      </c>
      <c r="E16" s="32" t="s">
        <v>45</v>
      </c>
      <c r="F16" s="184" t="s">
        <v>59</v>
      </c>
    </row>
    <row r="17" spans="1:11" ht="18" customHeight="1" x14ac:dyDescent="0.3">
      <c r="A17" s="32" t="s">
        <v>46</v>
      </c>
      <c r="B17" s="29">
        <f>0.6*B8*(B3/2)</f>
        <v>6503.7599999999984</v>
      </c>
      <c r="C17" s="29">
        <f>0.6*C8*(C3/2)</f>
        <v>0</v>
      </c>
      <c r="D17" s="29">
        <f>0.6*D8*(D3/2)</f>
        <v>0</v>
      </c>
      <c r="E17" s="32" t="s">
        <v>46</v>
      </c>
      <c r="F17" s="30" t="s">
        <v>60</v>
      </c>
      <c r="H17" s="5"/>
      <c r="I17" s="5"/>
      <c r="J17" s="5"/>
      <c r="K17" s="5"/>
    </row>
    <row r="18" spans="1:11" ht="18" customHeight="1" x14ac:dyDescent="0.2">
      <c r="A18" s="32" t="s">
        <v>64</v>
      </c>
      <c r="B18" s="72">
        <f>B16-B17</f>
        <v>6317.4763636363641</v>
      </c>
      <c r="C18" s="72">
        <f>C16-C17</f>
        <v>0</v>
      </c>
      <c r="D18" s="72">
        <f>D16-D17</f>
        <v>0</v>
      </c>
      <c r="E18" s="182" t="str">
        <f>IF(C18&gt;C13,"governs","--")</f>
        <v>--</v>
      </c>
      <c r="H18" s="269" t="s">
        <v>157</v>
      </c>
      <c r="I18" s="270"/>
      <c r="J18" s="270"/>
      <c r="K18" s="271"/>
    </row>
    <row r="19" spans="1:11" ht="18" customHeight="1" x14ac:dyDescent="0.25">
      <c r="A19" s="178"/>
      <c r="H19" s="104" t="s">
        <v>163</v>
      </c>
      <c r="I19" s="104" t="s">
        <v>161</v>
      </c>
      <c r="J19" s="272" t="s">
        <v>160</v>
      </c>
      <c r="K19" s="273"/>
    </row>
    <row r="20" spans="1:11" ht="18" customHeight="1" x14ac:dyDescent="0.25">
      <c r="A20" s="178" t="s">
        <v>72</v>
      </c>
      <c r="B20" s="42"/>
      <c r="C20" s="42"/>
      <c r="D20" s="42"/>
      <c r="E20" s="182"/>
      <c r="F20" s="42"/>
      <c r="H20" s="179" t="s">
        <v>162</v>
      </c>
      <c r="I20" s="179" t="s">
        <v>164</v>
      </c>
      <c r="J20" s="179" t="s">
        <v>158</v>
      </c>
      <c r="K20" s="186" t="s">
        <v>159</v>
      </c>
    </row>
    <row r="21" spans="1:11" ht="18" customHeight="1" x14ac:dyDescent="0.2">
      <c r="A21" s="32" t="s">
        <v>64</v>
      </c>
      <c r="B21" s="61">
        <f>IF(B18&gt;B13,B18,B13)</f>
        <v>28904.347201384619</v>
      </c>
      <c r="C21" s="61">
        <f>IF(C18&gt;C13,C18,C13)</f>
        <v>0</v>
      </c>
      <c r="D21" s="61">
        <f>IF(D18&gt;D13,D18,D13)</f>
        <v>0</v>
      </c>
      <c r="E21" s="165" t="s">
        <v>153</v>
      </c>
      <c r="H21" s="171">
        <v>1500</v>
      </c>
      <c r="I21" s="172">
        <f>H21*0.75</f>
        <v>1125</v>
      </c>
      <c r="J21" s="173" t="s">
        <v>80</v>
      </c>
      <c r="K21" s="174" t="s">
        <v>81</v>
      </c>
    </row>
    <row r="22" spans="1:11" ht="18" customHeight="1" x14ac:dyDescent="0.3">
      <c r="A22" s="33" t="s">
        <v>51</v>
      </c>
      <c r="B22" s="2">
        <f>B3-0.833</f>
        <v>11.167</v>
      </c>
      <c r="C22" s="2">
        <f t="shared" ref="C22:D22" si="0">C3-0.833</f>
        <v>-0.83299999999999996</v>
      </c>
      <c r="D22" s="2">
        <f t="shared" si="0"/>
        <v>-0.83299999999999996</v>
      </c>
      <c r="E22" s="38"/>
      <c r="F22" s="38"/>
      <c r="H22" s="170">
        <v>3610</v>
      </c>
      <c r="I22" s="172">
        <f t="shared" ref="I22:I24" si="1">H22*0.75</f>
        <v>2707.5</v>
      </c>
      <c r="J22" s="175" t="s">
        <v>78</v>
      </c>
      <c r="K22" s="181" t="s">
        <v>81</v>
      </c>
    </row>
    <row r="23" spans="1:11" ht="18" customHeight="1" x14ac:dyDescent="0.2">
      <c r="A23" s="141" t="s">
        <v>73</v>
      </c>
      <c r="B23" s="73">
        <f>B21/B22</f>
        <v>2588.3717382810619</v>
      </c>
      <c r="C23" s="73">
        <f t="shared" ref="C23:D23" si="2">C21/C22</f>
        <v>0</v>
      </c>
      <c r="D23" s="73">
        <f t="shared" si="2"/>
        <v>0</v>
      </c>
      <c r="E23" s="274"/>
      <c r="F23" s="274"/>
      <c r="H23" s="170">
        <v>4670</v>
      </c>
      <c r="I23" s="172">
        <f t="shared" si="1"/>
        <v>3502.5</v>
      </c>
      <c r="J23" s="175" t="s">
        <v>79</v>
      </c>
      <c r="K23" s="181" t="s">
        <v>82</v>
      </c>
    </row>
    <row r="24" spans="1:11" ht="18" customHeight="1" x14ac:dyDescent="0.2">
      <c r="A24" s="141" t="s">
        <v>176</v>
      </c>
      <c r="B24" s="189">
        <v>1043</v>
      </c>
      <c r="E24" s="141"/>
      <c r="F24" s="37"/>
      <c r="H24" s="175">
        <v>7345</v>
      </c>
      <c r="I24" s="172">
        <f t="shared" si="1"/>
        <v>5508.75</v>
      </c>
      <c r="J24" s="175" t="s">
        <v>165</v>
      </c>
      <c r="K24" s="104" t="s">
        <v>126</v>
      </c>
    </row>
    <row r="25" spans="1:11" ht="18" customHeight="1" x14ac:dyDescent="0.2">
      <c r="B25" s="197">
        <f>SUM(B23:B24)</f>
        <v>3631.3717382810619</v>
      </c>
      <c r="E25" s="141"/>
      <c r="F25" s="185"/>
    </row>
    <row r="26" spans="1:11" ht="18" customHeight="1" x14ac:dyDescent="0.2">
      <c r="B26" s="70" t="str">
        <f>IF(B25&lt;=0,"NONE",IF(B25&lt;=I21,J21,IF(B25&lt;=I22,J22,IF(B25&lt;=I23,J23,IF(B25&lt;=I24,J24)))))</f>
        <v>HD7B</v>
      </c>
      <c r="C26" s="70" t="str">
        <f>IF(C23&lt;=0,"NONE",IF(C23&lt;=$I$21,$J$21,IF(C23&lt;=$I$22,$J$22,IF(C23&lt;=$I$23,$J$23,IF(C23&lt;=$I$24,$J$24)))))</f>
        <v>NONE</v>
      </c>
      <c r="D26" s="70" t="str">
        <f>IF(D23&lt;=0,"NONE",IF(D23&lt;=$I$21,$J$21,IF(D23&lt;=$I$22,$J$22,IF(D23&lt;=$I$23,$J$23,IF(D23&lt;=$I$24,$J$24)))))</f>
        <v>NONE</v>
      </c>
      <c r="I26" s="7"/>
      <c r="J26" s="7"/>
    </row>
    <row r="28" spans="1:11" ht="18" customHeight="1" x14ac:dyDescent="0.2">
      <c r="H28" s="185"/>
    </row>
    <row r="29" spans="1:11" ht="18" customHeight="1" x14ac:dyDescent="0.2">
      <c r="A29" s="280" t="s">
        <v>195</v>
      </c>
      <c r="B29" s="280"/>
      <c r="C29" s="280"/>
      <c r="D29" s="280"/>
      <c r="E29" s="280"/>
      <c r="F29" s="280"/>
      <c r="G29" s="280"/>
      <c r="H29"/>
    </row>
    <row r="30" spans="1:11" ht="18" customHeight="1" x14ac:dyDescent="0.2">
      <c r="A30" s="211" t="s">
        <v>154</v>
      </c>
      <c r="B30" s="208" t="s">
        <v>197</v>
      </c>
      <c r="C30" s="210" t="s">
        <v>201</v>
      </c>
      <c r="D30" s="208" t="s">
        <v>198</v>
      </c>
      <c r="E30" s="208" t="s">
        <v>200</v>
      </c>
      <c r="F30" s="278" t="s">
        <v>199</v>
      </c>
      <c r="G30" s="279"/>
    </row>
    <row r="31" spans="1:11" ht="18" customHeight="1" x14ac:dyDescent="0.2">
      <c r="A31" s="211" t="s">
        <v>76</v>
      </c>
      <c r="B31" s="207">
        <v>645</v>
      </c>
      <c r="C31" s="220">
        <v>12</v>
      </c>
      <c r="D31" s="69">
        <f>ROUNDUP(MAX(F6:F7)/B31,0)</f>
        <v>7</v>
      </c>
      <c r="E31" s="218">
        <f>C31/(D31-1)</f>
        <v>2</v>
      </c>
      <c r="F31" s="221">
        <f>B31*D31</f>
        <v>4515</v>
      </c>
      <c r="G31" s="208" t="str">
        <f>IF(F31&gt;MAX(F6:F7),"OK","bad")</f>
        <v>OK</v>
      </c>
    </row>
    <row r="32" spans="1:11" ht="18" customHeight="1" x14ac:dyDescent="0.2">
      <c r="A32" s="211"/>
      <c r="B32" s="6"/>
      <c r="C32" s="68"/>
      <c r="D32" s="69"/>
      <c r="E32" s="169"/>
      <c r="F32" s="217"/>
      <c r="G32" s="217"/>
      <c r="H32"/>
    </row>
    <row r="33" spans="1:10" ht="18" customHeight="1" x14ac:dyDescent="0.2">
      <c r="A33" s="219" t="s">
        <v>210</v>
      </c>
      <c r="B33" s="209"/>
      <c r="C33" s="209"/>
      <c r="D33" s="209"/>
      <c r="E33" s="209"/>
      <c r="F33" s="209"/>
      <c r="G33" s="40"/>
      <c r="H33"/>
      <c r="J33" s="177"/>
    </row>
    <row r="34" spans="1:10" ht="18" hidden="1" customHeight="1" x14ac:dyDescent="0.2">
      <c r="A34"/>
      <c r="B34"/>
      <c r="C34"/>
      <c r="D34"/>
      <c r="E34"/>
      <c r="F34"/>
      <c r="G34"/>
      <c r="H34"/>
    </row>
    <row r="35" spans="1:10" ht="18" hidden="1" customHeight="1" x14ac:dyDescent="0.2">
      <c r="A35"/>
      <c r="B35"/>
      <c r="C35"/>
      <c r="D35"/>
      <c r="E35"/>
      <c r="F35"/>
      <c r="G35"/>
      <c r="H35"/>
    </row>
    <row r="36" spans="1:10" ht="18" customHeight="1" x14ac:dyDescent="0.2">
      <c r="A36"/>
      <c r="B36"/>
      <c r="C36"/>
      <c r="D36"/>
      <c r="E36"/>
      <c r="F36"/>
      <c r="G36"/>
      <c r="H36"/>
    </row>
    <row r="37" spans="1:10" ht="18" hidden="1" customHeight="1" x14ac:dyDescent="0.2">
      <c r="A37" s="186" t="s">
        <v>77</v>
      </c>
      <c r="B37" s="176">
        <v>485</v>
      </c>
      <c r="C37" s="69">
        <f t="shared" ref="C37" si="3">ROUNDUP((MAX($F$6:$F$7)/B37),0)</f>
        <v>9</v>
      </c>
      <c r="D37" s="169">
        <f>EVEN(($E$32/C37)*12)</f>
        <v>0</v>
      </c>
      <c r="E37" s="239"/>
      <c r="F37" s="239"/>
      <c r="G37" s="38"/>
      <c r="H37" s="38"/>
    </row>
    <row r="38" spans="1:10" ht="18" hidden="1" customHeight="1" x14ac:dyDescent="0.2">
      <c r="A38" s="186" t="s">
        <v>156</v>
      </c>
      <c r="B38" s="69">
        <v>480</v>
      </c>
      <c r="C38" s="69">
        <f>ROUNDUP((MAX($F$6:$F$7)/B38),0)</f>
        <v>9</v>
      </c>
      <c r="D38" s="169">
        <f>EVEN(($E$32/C38)*12)</f>
        <v>0</v>
      </c>
      <c r="E38" s="236"/>
      <c r="F38" s="238"/>
      <c r="G38" s="38"/>
      <c r="H38" s="38"/>
    </row>
    <row r="39" spans="1:10" ht="18" customHeight="1" x14ac:dyDescent="0.2">
      <c r="H39" s="38"/>
    </row>
    <row r="40" spans="1:10" ht="18" customHeight="1" x14ac:dyDescent="0.2">
      <c r="A40" s="275" t="s">
        <v>155</v>
      </c>
      <c r="B40" s="276"/>
      <c r="C40" s="276"/>
      <c r="D40" s="276"/>
      <c r="E40" s="276"/>
      <c r="F40" s="276"/>
      <c r="G40" s="277"/>
      <c r="H40" s="38"/>
    </row>
    <row r="41" spans="1:10" ht="18" customHeight="1" x14ac:dyDescent="0.2">
      <c r="A41" s="186" t="s">
        <v>75</v>
      </c>
      <c r="B41" s="176" t="s">
        <v>84</v>
      </c>
      <c r="C41" s="179" t="s">
        <v>88</v>
      </c>
      <c r="D41" s="166" t="s">
        <v>87</v>
      </c>
      <c r="E41" s="167" t="s">
        <v>85</v>
      </c>
      <c r="F41" s="278" t="s">
        <v>86</v>
      </c>
      <c r="G41" s="279"/>
      <c r="H41" s="7"/>
    </row>
    <row r="42" spans="1:10" ht="18" customHeight="1" x14ac:dyDescent="0.2">
      <c r="A42" s="68">
        <v>1180</v>
      </c>
      <c r="B42" s="74">
        <f>B3</f>
        <v>12</v>
      </c>
      <c r="C42" s="69">
        <f>MAX($G$6:$G$7)*B42</f>
        <v>4043.0232331730772</v>
      </c>
      <c r="D42" s="68">
        <v>4</v>
      </c>
      <c r="E42" s="168">
        <f>(B42-(16/12*2))*12/(D42-1)</f>
        <v>37.333333333333336</v>
      </c>
      <c r="F42" s="176">
        <f>D42*$A$42</f>
        <v>4720</v>
      </c>
      <c r="G42" s="176" t="str">
        <f>IF(F42&gt;=C42,"OK","FAIL")</f>
        <v>OK</v>
      </c>
      <c r="H42" s="7"/>
    </row>
    <row r="43" spans="1:10" ht="18" hidden="1" customHeight="1" x14ac:dyDescent="0.2">
      <c r="A43" s="6"/>
      <c r="B43" s="74">
        <f>C3</f>
        <v>0</v>
      </c>
      <c r="C43" s="69">
        <f>MAX($G$6:$G$7)*B43</f>
        <v>0</v>
      </c>
      <c r="D43" s="68">
        <v>2</v>
      </c>
      <c r="E43" s="168">
        <f>(B43-(16/12*2))*12/(D43-1)</f>
        <v>-32</v>
      </c>
      <c r="F43" s="176">
        <f>D43*$A$42</f>
        <v>2360</v>
      </c>
      <c r="G43" s="176" t="str">
        <f>IF(F43&gt;=C43,"OK","FAIL")</f>
        <v>OK</v>
      </c>
      <c r="H43" s="7"/>
    </row>
    <row r="44" spans="1:10" ht="18" hidden="1" customHeight="1" x14ac:dyDescent="0.2">
      <c r="A44" s="6"/>
      <c r="B44" s="74">
        <f>D3</f>
        <v>0</v>
      </c>
      <c r="C44" s="69">
        <f>MAX($G$6:$G$7)*B44</f>
        <v>0</v>
      </c>
      <c r="D44" s="68">
        <v>0</v>
      </c>
      <c r="E44" s="168">
        <f>(B44-(16/12*2))*12/(D44-1)</f>
        <v>32</v>
      </c>
      <c r="F44" s="176">
        <f>D44*$A$42</f>
        <v>0</v>
      </c>
      <c r="G44" s="176" t="str">
        <f>IF(F44&gt;=C44,"OK","FAIL")</f>
        <v>OK</v>
      </c>
      <c r="H44" s="7"/>
    </row>
    <row r="45" spans="1:10" ht="18" customHeight="1" x14ac:dyDescent="0.2">
      <c r="A45" s="31"/>
      <c r="B45" s="182"/>
      <c r="C45" s="182"/>
      <c r="D45" s="7"/>
      <c r="E45" s="182"/>
      <c r="F45" s="44"/>
      <c r="G45" s="7"/>
      <c r="H45" s="7"/>
    </row>
    <row r="46" spans="1:10" ht="18" customHeight="1" x14ac:dyDescent="0.25">
      <c r="A46" s="284" t="s">
        <v>192</v>
      </c>
      <c r="B46" s="285"/>
      <c r="C46" s="285"/>
      <c r="D46" s="285"/>
      <c r="E46" s="285"/>
      <c r="F46" s="285"/>
      <c r="G46" s="285"/>
      <c r="H46" s="285"/>
      <c r="I46" s="286"/>
    </row>
    <row r="47" spans="1:10" ht="18" customHeight="1" x14ac:dyDescent="0.2">
      <c r="A47" s="201" t="s">
        <v>181</v>
      </c>
      <c r="B47" s="282" t="s">
        <v>182</v>
      </c>
      <c r="C47" s="282"/>
      <c r="D47" s="282"/>
      <c r="E47" s="282"/>
      <c r="F47" s="283" t="s">
        <v>183</v>
      </c>
      <c r="G47" s="283"/>
      <c r="H47" s="283" t="s">
        <v>184</v>
      </c>
      <c r="I47" s="283"/>
    </row>
    <row r="48" spans="1:10" ht="18" customHeight="1" x14ac:dyDescent="0.2">
      <c r="A48" s="204" t="s">
        <v>185</v>
      </c>
      <c r="B48" s="205" t="s">
        <v>132</v>
      </c>
      <c r="C48" s="206" t="s">
        <v>84</v>
      </c>
      <c r="D48" s="206" t="s">
        <v>186</v>
      </c>
      <c r="E48" s="206" t="s">
        <v>187</v>
      </c>
      <c r="F48" s="206" t="s">
        <v>188</v>
      </c>
      <c r="G48" s="206" t="s">
        <v>189</v>
      </c>
      <c r="H48" s="206" t="s">
        <v>190</v>
      </c>
      <c r="I48" s="206" t="s">
        <v>191</v>
      </c>
    </row>
    <row r="49" spans="1:9" ht="18" customHeight="1" x14ac:dyDescent="0.2">
      <c r="A49" s="201">
        <v>10211</v>
      </c>
      <c r="B49" s="201">
        <v>1.67</v>
      </c>
      <c r="C49" s="202">
        <f>2*(D49+E49)+0.67</f>
        <v>6.01</v>
      </c>
      <c r="D49" s="201">
        <v>2</v>
      </c>
      <c r="E49" s="203">
        <v>0.67</v>
      </c>
      <c r="F49" s="202">
        <f>PRODUCT(C49,B49,(D49+E49))*150</f>
        <v>4019.6983499999997</v>
      </c>
      <c r="G49" s="202">
        <f>SUM(A49,F49)</f>
        <v>14230.698349999999</v>
      </c>
      <c r="H49" s="201">
        <v>1500</v>
      </c>
      <c r="I49" s="202">
        <f>G49/(B49*C49)</f>
        <v>1417.8662658044975</v>
      </c>
    </row>
    <row r="50" spans="1:9" ht="18" customHeight="1" x14ac:dyDescent="0.25">
      <c r="A50" s="46"/>
      <c r="B50" s="48"/>
      <c r="C50" s="48"/>
      <c r="D50" s="7"/>
      <c r="E50" s="7"/>
      <c r="F50" s="7"/>
      <c r="G50" s="7"/>
      <c r="H50" s="7"/>
    </row>
    <row r="51" spans="1:9" ht="18" customHeight="1" x14ac:dyDescent="0.2">
      <c r="A51" s="36"/>
      <c r="B51" s="36"/>
      <c r="C51" s="36"/>
      <c r="D51" s="7"/>
      <c r="E51" s="31"/>
      <c r="F51" s="183"/>
      <c r="G51" s="7"/>
      <c r="H51" s="7"/>
    </row>
  </sheetData>
  <mergeCells count="15">
    <mergeCell ref="E37:F37"/>
    <mergeCell ref="E38:F38"/>
    <mergeCell ref="A40:G40"/>
    <mergeCell ref="B2:C2"/>
    <mergeCell ref="F12:H12"/>
    <mergeCell ref="H18:K18"/>
    <mergeCell ref="J19:K19"/>
    <mergeCell ref="E23:F23"/>
    <mergeCell ref="A29:G29"/>
    <mergeCell ref="F30:G30"/>
    <mergeCell ref="F41:G41"/>
    <mergeCell ref="B47:E47"/>
    <mergeCell ref="F47:G47"/>
    <mergeCell ref="H47:I47"/>
    <mergeCell ref="A46:I46"/>
  </mergeCells>
  <conditionalFormatting sqref="G47">
    <cfRule type="cellIs" dxfId="12" priority="13" stopIfTrue="1" operator="greaterThan">
      <formula>$G$6</formula>
    </cfRule>
  </conditionalFormatting>
  <conditionalFormatting sqref="B18:C18">
    <cfRule type="cellIs" dxfId="11" priority="12" stopIfTrue="1" operator="greaterThan">
      <formula>$B$13</formula>
    </cfRule>
  </conditionalFormatting>
  <conditionalFormatting sqref="B13">
    <cfRule type="cellIs" dxfId="10" priority="11" stopIfTrue="1" operator="greaterThan">
      <formula>$B$18</formula>
    </cfRule>
  </conditionalFormatting>
  <conditionalFormatting sqref="C13">
    <cfRule type="cellIs" dxfId="9" priority="10" stopIfTrue="1" operator="greaterThan">
      <formula>$C$18</formula>
    </cfRule>
  </conditionalFormatting>
  <conditionalFormatting sqref="B23:D23">
    <cfRule type="cellIs" dxfId="8" priority="9" stopIfTrue="1" operator="greaterThan">
      <formula>$B$13</formula>
    </cfRule>
  </conditionalFormatting>
  <conditionalFormatting sqref="B8">
    <cfRule type="cellIs" dxfId="7" priority="8" stopIfTrue="1" operator="greaterThan">
      <formula>$B$18</formula>
    </cfRule>
  </conditionalFormatting>
  <conditionalFormatting sqref="C8">
    <cfRule type="cellIs" dxfId="6" priority="7" stopIfTrue="1" operator="greaterThan">
      <formula>$B$18</formula>
    </cfRule>
  </conditionalFormatting>
  <conditionalFormatting sqref="G6">
    <cfRule type="cellIs" dxfId="5" priority="6" operator="greaterThan">
      <formula>$G$7</formula>
    </cfRule>
  </conditionalFormatting>
  <conditionalFormatting sqref="G7">
    <cfRule type="cellIs" dxfId="4" priority="5" operator="greaterThan">
      <formula>$G$6</formula>
    </cfRule>
  </conditionalFormatting>
  <conditionalFormatting sqref="D18">
    <cfRule type="cellIs" dxfId="3" priority="4" stopIfTrue="1" operator="greaterThan">
      <formula>$B$13</formula>
    </cfRule>
  </conditionalFormatting>
  <conditionalFormatting sqref="D13">
    <cfRule type="cellIs" dxfId="2" priority="3" stopIfTrue="1" operator="greaterThan">
      <formula>$C$18</formula>
    </cfRule>
  </conditionalFormatting>
  <conditionalFormatting sqref="D8">
    <cfRule type="cellIs" dxfId="1" priority="2" stopIfTrue="1" operator="greaterThan">
      <formula>$B$18</formula>
    </cfRule>
  </conditionalFormatting>
  <conditionalFormatting sqref="G33">
    <cfRule type="cellIs" dxfId="0" priority="1" stopIfTrue="1" operator="greaterThan">
      <formula>$G$7</formula>
    </cfRule>
  </conditionalFormatting>
  <pageMargins left="0.75" right="0.75" top="1.74" bottom="1" header="0.5" footer="0.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wind-siesmic</vt:lpstr>
      <vt:lpstr>swA</vt:lpstr>
      <vt:lpstr>swB</vt:lpstr>
      <vt:lpstr>sw1</vt:lpstr>
      <vt:lpstr>sw2</vt:lpstr>
      <vt:lpstr>sw3</vt:lpstr>
      <vt:lpstr>'sw1'!Print_Area</vt:lpstr>
      <vt:lpstr>'sw2'!Print_Area</vt:lpstr>
      <vt:lpstr>'sw3'!Print_Area</vt:lpstr>
      <vt:lpstr>swA!Print_Area</vt:lpstr>
      <vt:lpstr>swB!Print_Area</vt:lpstr>
      <vt:lpstr>'wind-siesmic'!Print_Area</vt:lpstr>
    </vt:vector>
  </TitlesOfParts>
  <Company>AVEngineering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RTweed</dc:creator>
  <cp:lastModifiedBy>Robert Tweed</cp:lastModifiedBy>
  <cp:lastPrinted>2012-11-29T01:24:08Z</cp:lastPrinted>
  <dcterms:created xsi:type="dcterms:W3CDTF">2010-02-03T22:03:07Z</dcterms:created>
  <dcterms:modified xsi:type="dcterms:W3CDTF">2017-05-19T01:41:29Z</dcterms:modified>
</cp:coreProperties>
</file>